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11715" activeTab="0"/>
  </bookViews>
  <sheets>
    <sheet name="Zusammenfassung" sheetId="1" r:id="rId1"/>
    <sheet name="Abschreibung" sheetId="2" r:id="rId2"/>
  </sheets>
  <definedNames>
    <definedName name="_xlnm.Print_Area" localSheetId="0">'Zusammenfassung'!$A$1:$M$57</definedName>
  </definedNames>
  <calcPr fullCalcOnLoad="1"/>
</workbook>
</file>

<file path=xl/comments1.xml><?xml version="1.0" encoding="utf-8"?>
<comments xmlns="http://schemas.openxmlformats.org/spreadsheetml/2006/main">
  <authors>
    <author>Matthias Komarek</author>
  </authors>
  <commentList>
    <comment ref="B20" authorId="0">
      <text>
        <r>
          <rPr>
            <b/>
            <sz val="8"/>
            <rFont val="Tahoma"/>
            <family val="2"/>
          </rPr>
          <t>Matthias Komarek:</t>
        </r>
        <r>
          <rPr>
            <sz val="8"/>
            <rFont val="Tahoma"/>
            <family val="2"/>
          </rPr>
          <t xml:space="preserve">
Korrektes Kalkulationergebnis nur bei einer Nutzungsdauer von mindestens 5 Jahren</t>
        </r>
      </text>
    </comment>
  </commentList>
</comments>
</file>

<file path=xl/sharedStrings.xml><?xml version="1.0" encoding="utf-8"?>
<sst xmlns="http://schemas.openxmlformats.org/spreadsheetml/2006/main" count="65" uniqueCount="61">
  <si>
    <t>Wertverlust</t>
  </si>
  <si>
    <t>Versicherung</t>
  </si>
  <si>
    <t>Sonstiges</t>
  </si>
  <si>
    <t>Stellplatz</t>
  </si>
  <si>
    <t>Diverses</t>
  </si>
  <si>
    <t>Finanzierung</t>
  </si>
  <si>
    <t>Jahreslaufleistung</t>
  </si>
  <si>
    <t>Gewinn/Verlust</t>
  </si>
  <si>
    <t>Zeitwert</t>
  </si>
  <si>
    <t>Ausgaben</t>
  </si>
  <si>
    <t>Einnahmen</t>
  </si>
  <si>
    <t>Abschreibungsart</t>
  </si>
  <si>
    <t>Kaufdatum</t>
  </si>
  <si>
    <t>minimaler Buchwert</t>
  </si>
  <si>
    <t>monatliche Abschreibung (gerundet)</t>
  </si>
  <si>
    <t>Wertverlust im Jahr</t>
  </si>
  <si>
    <t>Versicherung/Jahr [€]</t>
  </si>
  <si>
    <t>Steuer/Versicherung</t>
  </si>
  <si>
    <t>Reinigung</t>
  </si>
  <si>
    <t>Summe Fixkosten</t>
  </si>
  <si>
    <t>Fixkosten/km</t>
  </si>
  <si>
    <t>Variable Kosten</t>
  </si>
  <si>
    <t>Summe Kosten variabel</t>
  </si>
  <si>
    <t>Kosten gesamt</t>
  </si>
  <si>
    <t>Variable Kosten/km</t>
  </si>
  <si>
    <t>Verwaltung/Konto</t>
  </si>
  <si>
    <t>Verbrauch kWh/100km</t>
  </si>
  <si>
    <t>Stromkosten</t>
  </si>
  <si>
    <t>Kaufpreis abzüglich Förderung</t>
  </si>
  <si>
    <t>Stellplatz/Jahr</t>
  </si>
  <si>
    <t>Diverses/Jahr</t>
  </si>
  <si>
    <t>Verwaltung-Konto/Jahr</t>
  </si>
  <si>
    <t>Reinigung/Jahr</t>
  </si>
  <si>
    <t>Inflation/Jahr</t>
  </si>
  <si>
    <t>Es bedarf einer individuellen Anpassung nach eigenem Ermessen.</t>
  </si>
  <si>
    <t>Allgemeine Angaben</t>
  </si>
  <si>
    <t>Variable Kosten (Reifen, …)</t>
  </si>
  <si>
    <t>Gesamteinnahmen/km</t>
  </si>
  <si>
    <t>Nutzungsdauer für Abschreibung</t>
  </si>
  <si>
    <t>Ergebnis über 10 Jahre OHNE Autoneuanschaffung:</t>
  </si>
  <si>
    <t>Fixkosten (Service, …)</t>
  </si>
  <si>
    <t>Einnahmen gesamt</t>
  </si>
  <si>
    <t>Gesamtkosten/km</t>
  </si>
  <si>
    <t>Anzahl Mitglieder fördernd</t>
  </si>
  <si>
    <t>Anzahl Mitglieder ordentlich</t>
  </si>
  <si>
    <t>Sponsoring + Zuschüsse/Jahr</t>
  </si>
  <si>
    <t>Mitgliedsbeitrag/Monat FahrerIn</t>
  </si>
  <si>
    <t>Anzahl Mitglieder ermäßigt</t>
  </si>
  <si>
    <t>Mitgliedsbeitrag/Monat Kinder</t>
  </si>
  <si>
    <t xml:space="preserve">Mitgliedsbeitrag/Monat </t>
  </si>
  <si>
    <t>Fahrtkostenersatz</t>
  </si>
  <si>
    <t>Fahrten/Monat</t>
  </si>
  <si>
    <t>Fahrtkostenersätze</t>
  </si>
  <si>
    <t>Sämtliche Zahlen sind erfahrungsgemäß angenommene Richtwerte. Spezifische Projekte können im Einzelfall (stark) davon abweichen, besonders die Anzahl der Mitglieder!</t>
  </si>
  <si>
    <t>Ergebnis über 5 Jahre:</t>
  </si>
  <si>
    <t>Mitgliedsbeiträge</t>
  </si>
  <si>
    <t>Sponsoring + Zuschüsse</t>
  </si>
  <si>
    <t>Fixkosten (Service, Instandhaltung, ...)</t>
  </si>
  <si>
    <t>motorbez. Versicherungssteuer</t>
  </si>
  <si>
    <t>Ergebnis über 10 Jahre MIT Autoneuanschaffung:</t>
  </si>
  <si>
    <t>Kalkulation e-Fahrtendienst bei Fahrtenabrechnung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</si>
</sst>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&quot;€&quot;\ #,##0"/>
    <numFmt numFmtId="174" formatCode="[$-C07]dddd\,\ dd\.\ mmmm\ yyyy"/>
    <numFmt numFmtId="175" formatCode="[$-C07]mmmm;@"/>
    <numFmt numFmtId="176" formatCode="_-&quot;€&quot;\ * #,##0.0_-;\-&quot;€&quot;\ * #,##0.0_-;_-&quot;€&quot;\ * &quot;-&quot;??_-;_-@_-"/>
    <numFmt numFmtId="177" formatCode="_-&quot;€&quot;\ * #,##0_-;\-&quot;€&quot;\ * #,##0_-;_-&quot;€&quot;\ * &quot;-&quot;??_-;_-@_-"/>
    <numFmt numFmtId="178" formatCode="0.0%"/>
    <numFmt numFmtId="179" formatCode="#,##0\ &quot;km&quot;"/>
    <numFmt numFmtId="180" formatCode="#,##0\ &quot;l&quot;"/>
    <numFmt numFmtId="181" formatCode="#,##0.0\ &quot;l&quot;"/>
    <numFmt numFmtId="182" formatCode="#,##0.00\ &quot;€/km&quot;"/>
    <numFmt numFmtId="183" formatCode="#,##0\ &quot;kW&quot;"/>
    <numFmt numFmtId="184" formatCode="#,##0\ [$€-1];[Red]\-#,##0\ [$€-1]"/>
    <numFmt numFmtId="185" formatCode="#,##0.00\ &quot;€/l&quot;"/>
    <numFmt numFmtId="186" formatCode="#,##0.00\ &quot;€/h&quot;"/>
    <numFmt numFmtId="187" formatCode="#,##0.00\ &quot;h/Monat&quot;"/>
    <numFmt numFmtId="188" formatCode="#,##0\ &quot;h/Monat&quot;"/>
    <numFmt numFmtId="189" formatCode="[$-407]dddd\,\ d\.\ mmmm\ yyyy"/>
    <numFmt numFmtId="190" formatCode="#,##0.0\ &quot;kWh&quot;"/>
    <numFmt numFmtId="191" formatCode="#,##0\ &quot;kWh&quot;"/>
    <numFmt numFmtId="192" formatCode="#,##0.00\ &quot;€/kWh&quot;"/>
    <numFmt numFmtId="193" formatCode="#,##0.00\ &quot;€/Jahr&quot;"/>
    <numFmt numFmtId="194" formatCode="#,##0.000\ &quot;€/Jahr&quot;"/>
    <numFmt numFmtId="195" formatCode="#,##0.0\ &quot;€/Jahr&quot;"/>
    <numFmt numFmtId="196" formatCode="#,##0\ &quot;€/Jahr&quot;"/>
    <numFmt numFmtId="197" formatCode="#,##0.00\ &quot;€&quot;"/>
    <numFmt numFmtId="198" formatCode="&quot;€&quot;\ #,##0.\-\-"/>
    <numFmt numFmtId="199" formatCode="#,##0\ &quot;h/Jahr&quot;"/>
    <numFmt numFmtId="200" formatCode="0.0\ %"/>
    <numFmt numFmtId="201" formatCode="#,##0.000\ &quot;€&quot;"/>
    <numFmt numFmtId="202" formatCode="#,##0.0\ &quot;€&quot;"/>
    <numFmt numFmtId="203" formatCode="#,##0\ &quot;€&quot;"/>
    <numFmt numFmtId="204" formatCode="&quot;€&quot;\ #,##0.0"/>
    <numFmt numFmtId="205" formatCode="dd/\ mm/\ yyyy"/>
    <numFmt numFmtId="206" formatCode="#,###.00\ %"/>
    <numFmt numFmtId="207" formatCode="&quot;Ja&quot;;&quot;Ja&quot;;&quot;Nein&quot;"/>
    <numFmt numFmtId="208" formatCode="&quot;Wahr&quot;;&quot;Wahr&quot;;&quot;Falsch&quot;"/>
    <numFmt numFmtId="209" formatCode="&quot;Ein&quot;;&quot;Ein&quot;;&quot;Aus&quot;"/>
    <numFmt numFmtId="210" formatCode="[$€-2]\ #,##0.00_);[Red]\([$€-2]\ #,##0.00\)"/>
    <numFmt numFmtId="211" formatCode="0\ &quot;Jahre&quot;"/>
    <numFmt numFmtId="212" formatCode="#,##0\ &quot;h&quot;"/>
    <numFmt numFmtId="213" formatCode="#,##0.00\ &quot;Euro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0"/>
      <color rgb="FF00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3">
    <xf numFmtId="0" fontId="0" fillId="0" borderId="0" xfId="0" applyAlignment="1">
      <alignment/>
    </xf>
    <xf numFmtId="173" fontId="0" fillId="33" borderId="10" xfId="0" applyNumberFormat="1" applyFill="1" applyBorder="1" applyAlignment="1">
      <alignment/>
    </xf>
    <xf numFmtId="173" fontId="0" fillId="33" borderId="11" xfId="0" applyNumberFormat="1" applyFill="1" applyBorder="1" applyAlignment="1">
      <alignment/>
    </xf>
    <xf numFmtId="173" fontId="0" fillId="33" borderId="12" xfId="0" applyNumberFormat="1" applyFill="1" applyBorder="1" applyAlignment="1">
      <alignment/>
    </xf>
    <xf numFmtId="173" fontId="0" fillId="33" borderId="13" xfId="0" applyNumberFormat="1" applyFill="1" applyBorder="1" applyAlignment="1">
      <alignment/>
    </xf>
    <xf numFmtId="175" fontId="0" fillId="34" borderId="14" xfId="0" applyNumberFormat="1" applyFill="1" applyBorder="1" applyAlignment="1">
      <alignment/>
    </xf>
    <xf numFmtId="175" fontId="0" fillId="34" borderId="15" xfId="0" applyNumberForma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33" borderId="0" xfId="0" applyFill="1" applyBorder="1" applyAlignment="1">
      <alignment/>
    </xf>
    <xf numFmtId="173" fontId="0" fillId="35" borderId="11" xfId="0" applyNumberFormat="1" applyFill="1" applyBorder="1" applyAlignment="1">
      <alignment/>
    </xf>
    <xf numFmtId="173" fontId="0" fillId="36" borderId="13" xfId="0" applyNumberFormat="1" applyFill="1" applyBorder="1" applyAlignment="1">
      <alignment/>
    </xf>
    <xf numFmtId="0" fontId="0" fillId="37" borderId="19" xfId="0" applyFill="1" applyBorder="1" applyAlignment="1">
      <alignment/>
    </xf>
    <xf numFmtId="173" fontId="0" fillId="37" borderId="19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79" fontId="0" fillId="38" borderId="11" xfId="0" applyNumberFormat="1" applyFill="1" applyBorder="1" applyAlignment="1">
      <alignment/>
    </xf>
    <xf numFmtId="182" fontId="0" fillId="38" borderId="11" xfId="0" applyNumberFormat="1" applyFill="1" applyBorder="1" applyAlignment="1">
      <alignment/>
    </xf>
    <xf numFmtId="0" fontId="0" fillId="0" borderId="0" xfId="0" applyFill="1" applyAlignment="1">
      <alignment/>
    </xf>
    <xf numFmtId="172" fontId="0" fillId="0" borderId="20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39" borderId="0" xfId="0" applyFill="1" applyBorder="1" applyAlignment="1">
      <alignment/>
    </xf>
    <xf numFmtId="0" fontId="0" fillId="0" borderId="21" xfId="0" applyBorder="1" applyAlignment="1">
      <alignment/>
    </xf>
    <xf numFmtId="173" fontId="0" fillId="36" borderId="21" xfId="0" applyNumberFormat="1" applyFill="1" applyBorder="1" applyAlignment="1">
      <alignment/>
    </xf>
    <xf numFmtId="203" fontId="0" fillId="38" borderId="11" xfId="0" applyNumberFormat="1" applyFill="1" applyBorder="1" applyAlignment="1">
      <alignment/>
    </xf>
    <xf numFmtId="0" fontId="0" fillId="40" borderId="0" xfId="0" applyFill="1" applyAlignment="1">
      <alignment/>
    </xf>
    <xf numFmtId="0" fontId="0" fillId="0" borderId="0" xfId="0" applyFill="1" applyBorder="1" applyAlignment="1">
      <alignment/>
    </xf>
    <xf numFmtId="203" fontId="0" fillId="41" borderId="22" xfId="0" applyNumberFormat="1" applyFill="1" applyBorder="1" applyAlignment="1">
      <alignment/>
    </xf>
    <xf numFmtId="0" fontId="47" fillId="0" borderId="0" xfId="0" applyFont="1" applyAlignment="1">
      <alignment horizontal="left" vertical="center"/>
    </xf>
    <xf numFmtId="0" fontId="47" fillId="41" borderId="0" xfId="0" applyFont="1" applyFill="1" applyAlignment="1">
      <alignment horizontal="left" vertical="center"/>
    </xf>
    <xf numFmtId="0" fontId="9" fillId="41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191" fontId="0" fillId="38" borderId="13" xfId="0" applyNumberFormat="1" applyFill="1" applyBorder="1" applyAlignment="1">
      <alignment/>
    </xf>
    <xf numFmtId="206" fontId="0" fillId="38" borderId="13" xfId="0" applyNumberFormat="1" applyFill="1" applyBorder="1" applyAlignment="1">
      <alignment/>
    </xf>
    <xf numFmtId="192" fontId="0" fillId="38" borderId="22" xfId="0" applyNumberFormat="1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3" borderId="24" xfId="0" applyFont="1" applyFill="1" applyBorder="1" applyAlignment="1">
      <alignment/>
    </xf>
    <xf numFmtId="0" fontId="0" fillId="43" borderId="25" xfId="0" applyFont="1" applyFill="1" applyBorder="1" applyAlignment="1">
      <alignment/>
    </xf>
    <xf numFmtId="0" fontId="0" fillId="43" borderId="26" xfId="0" applyFont="1" applyFill="1" applyBorder="1" applyAlignment="1">
      <alignment/>
    </xf>
    <xf numFmtId="0" fontId="0" fillId="43" borderId="27" xfId="0" applyFon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ont="1" applyFill="1" applyBorder="1" applyAlignment="1">
      <alignment/>
    </xf>
    <xf numFmtId="0" fontId="0" fillId="43" borderId="29" xfId="0" applyFont="1" applyFill="1" applyBorder="1" applyAlignment="1">
      <alignment/>
    </xf>
    <xf numFmtId="0" fontId="0" fillId="8" borderId="0" xfId="0" applyFill="1" applyAlignment="1">
      <alignment/>
    </xf>
    <xf numFmtId="172" fontId="0" fillId="8" borderId="20" xfId="0" applyNumberFormat="1" applyFill="1" applyBorder="1" applyAlignment="1">
      <alignment/>
    </xf>
    <xf numFmtId="0" fontId="0" fillId="8" borderId="0" xfId="0" applyFont="1" applyFill="1" applyAlignment="1">
      <alignment/>
    </xf>
    <xf numFmtId="0" fontId="6" fillId="43" borderId="0" xfId="0" applyFont="1" applyFill="1" applyAlignment="1">
      <alignment/>
    </xf>
    <xf numFmtId="0" fontId="0" fillId="43" borderId="0" xfId="0" applyFill="1" applyAlignment="1">
      <alignment/>
    </xf>
    <xf numFmtId="183" fontId="0" fillId="43" borderId="20" xfId="0" applyNumberFormat="1" applyFill="1" applyBorder="1" applyAlignment="1">
      <alignment/>
    </xf>
    <xf numFmtId="0" fontId="0" fillId="43" borderId="20" xfId="0" applyFill="1" applyBorder="1" applyAlignment="1">
      <alignment/>
    </xf>
    <xf numFmtId="172" fontId="0" fillId="43" borderId="20" xfId="0" applyNumberForma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0" xfId="0" applyFill="1" applyBorder="1" applyAlignment="1">
      <alignment/>
    </xf>
    <xf numFmtId="0" fontId="4" fillId="40" borderId="0" xfId="0" applyFont="1" applyFill="1" applyAlignment="1">
      <alignment/>
    </xf>
    <xf numFmtId="172" fontId="4" fillId="4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0" fontId="0" fillId="16" borderId="15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6" fillId="16" borderId="0" xfId="0" applyFont="1" applyFill="1" applyAlignment="1">
      <alignment/>
    </xf>
    <xf numFmtId="0" fontId="0" fillId="16" borderId="0" xfId="0" applyFill="1" applyAlignment="1">
      <alignment/>
    </xf>
    <xf numFmtId="172" fontId="0" fillId="16" borderId="20" xfId="0" applyNumberFormat="1" applyFill="1" applyBorder="1" applyAlignment="1">
      <alignment/>
    </xf>
    <xf numFmtId="0" fontId="0" fillId="16" borderId="0" xfId="0" applyFont="1" applyFill="1" applyAlignment="1">
      <alignment/>
    </xf>
    <xf numFmtId="0" fontId="6" fillId="44" borderId="30" xfId="0" applyFont="1" applyFill="1" applyBorder="1" applyAlignment="1">
      <alignment/>
    </xf>
    <xf numFmtId="0" fontId="0" fillId="44" borderId="30" xfId="0" applyFill="1" applyBorder="1" applyAlignment="1">
      <alignment/>
    </xf>
    <xf numFmtId="8" fontId="4" fillId="44" borderId="3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6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7" fillId="8" borderId="0" xfId="0" applyFont="1" applyFill="1" applyAlignment="1">
      <alignment/>
    </xf>
    <xf numFmtId="172" fontId="7" fillId="8" borderId="20" xfId="0" applyNumberFormat="1" applyFont="1" applyFill="1" applyBorder="1" applyAlignment="1">
      <alignment/>
    </xf>
    <xf numFmtId="0" fontId="8" fillId="40" borderId="0" xfId="0" applyFont="1" applyFill="1" applyAlignment="1">
      <alignment/>
    </xf>
    <xf numFmtId="0" fontId="7" fillId="40" borderId="0" xfId="0" applyFont="1" applyFill="1" applyAlignment="1">
      <alignment/>
    </xf>
    <xf numFmtId="172" fontId="8" fillId="40" borderId="20" xfId="0" applyNumberFormat="1" applyFont="1" applyFill="1" applyBorder="1" applyAlignment="1">
      <alignment/>
    </xf>
    <xf numFmtId="0" fontId="0" fillId="42" borderId="14" xfId="0" applyFont="1" applyFill="1" applyBorder="1" applyAlignment="1">
      <alignment/>
    </xf>
    <xf numFmtId="211" fontId="0" fillId="41" borderId="11" xfId="0" applyNumberForma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197" fontId="4" fillId="0" borderId="34" xfId="0" applyNumberFormat="1" applyFont="1" applyBorder="1" applyAlignment="1">
      <alignment horizontal="center"/>
    </xf>
    <xf numFmtId="0" fontId="4" fillId="0" borderId="35" xfId="0" applyFont="1" applyFill="1" applyBorder="1" applyAlignment="1">
      <alignment horizontal="center" wrapText="1"/>
    </xf>
    <xf numFmtId="183" fontId="0" fillId="43" borderId="35" xfId="0" applyNumberFormat="1" applyFill="1" applyBorder="1" applyAlignment="1">
      <alignment/>
    </xf>
    <xf numFmtId="0" fontId="0" fillId="43" borderId="35" xfId="0" applyFill="1" applyBorder="1" applyAlignment="1">
      <alignment/>
    </xf>
    <xf numFmtId="172" fontId="0" fillId="43" borderId="35" xfId="0" applyNumberFormat="1" applyFill="1" applyBorder="1" applyAlignment="1">
      <alignment/>
    </xf>
    <xf numFmtId="172" fontId="0" fillId="0" borderId="35" xfId="0" applyNumberFormat="1" applyBorder="1" applyAlignment="1">
      <alignment/>
    </xf>
    <xf numFmtId="172" fontId="0" fillId="8" borderId="35" xfId="0" applyNumberFormat="1" applyFill="1" applyBorder="1" applyAlignment="1">
      <alignment/>
    </xf>
    <xf numFmtId="172" fontId="7" fillId="8" borderId="35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2" fontId="4" fillId="40" borderId="35" xfId="0" applyNumberFormat="1" applyFont="1" applyFill="1" applyBorder="1" applyAlignment="1">
      <alignment/>
    </xf>
    <xf numFmtId="172" fontId="8" fillId="40" borderId="35" xfId="0" applyNumberFormat="1" applyFont="1" applyFill="1" applyBorder="1" applyAlignment="1">
      <alignment/>
    </xf>
    <xf numFmtId="172" fontId="0" fillId="16" borderId="35" xfId="0" applyNumberFormat="1" applyFill="1" applyBorder="1" applyAlignment="1">
      <alignment/>
    </xf>
    <xf numFmtId="8" fontId="4" fillId="44" borderId="3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20" xfId="0" applyNumberFormat="1" applyFill="1" applyBorder="1" applyAlignment="1">
      <alignment/>
    </xf>
    <xf numFmtId="172" fontId="0" fillId="0" borderId="35" xfId="0" applyNumberFormat="1" applyFill="1" applyBorder="1" applyAlignment="1">
      <alignment/>
    </xf>
    <xf numFmtId="0" fontId="4" fillId="45" borderId="0" xfId="0" applyFont="1" applyFill="1" applyAlignment="1">
      <alignment/>
    </xf>
    <xf numFmtId="0" fontId="0" fillId="45" borderId="0" xfId="0" applyFill="1" applyAlignment="1">
      <alignment/>
    </xf>
    <xf numFmtId="172" fontId="4" fillId="45" borderId="20" xfId="0" applyNumberFormat="1" applyFont="1" applyFill="1" applyBorder="1" applyAlignment="1">
      <alignment/>
    </xf>
    <xf numFmtId="172" fontId="4" fillId="45" borderId="35" xfId="0" applyNumberFormat="1" applyFont="1" applyFill="1" applyBorder="1" applyAlignment="1">
      <alignment/>
    </xf>
    <xf numFmtId="0" fontId="7" fillId="45" borderId="0" xfId="0" applyFont="1" applyFill="1" applyAlignment="1">
      <alignment/>
    </xf>
    <xf numFmtId="172" fontId="8" fillId="45" borderId="20" xfId="0" applyNumberFormat="1" applyFont="1" applyFill="1" applyBorder="1" applyAlignment="1">
      <alignment/>
    </xf>
    <xf numFmtId="172" fontId="8" fillId="45" borderId="35" xfId="0" applyNumberFormat="1" applyFont="1" applyFill="1" applyBorder="1" applyAlignment="1">
      <alignment/>
    </xf>
    <xf numFmtId="197" fontId="0" fillId="38" borderId="13" xfId="0" applyNumberFormat="1" applyFill="1" applyBorder="1" applyAlignment="1">
      <alignment/>
    </xf>
    <xf numFmtId="0" fontId="0" fillId="38" borderId="22" xfId="0" applyFill="1" applyBorder="1" applyAlignment="1">
      <alignment/>
    </xf>
    <xf numFmtId="0" fontId="6" fillId="43" borderId="20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0" fontId="0" fillId="16" borderId="20" xfId="0" applyFill="1" applyBorder="1" applyAlignment="1">
      <alignment/>
    </xf>
    <xf numFmtId="172" fontId="0" fillId="0" borderId="0" xfId="0" applyNumberFormat="1" applyBorder="1" applyAlignment="1">
      <alignment/>
    </xf>
    <xf numFmtId="0" fontId="0" fillId="16" borderId="37" xfId="0" applyFill="1" applyBorder="1" applyAlignment="1">
      <alignment/>
    </xf>
    <xf numFmtId="0" fontId="0" fillId="16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16" borderId="12" xfId="0" applyFill="1" applyBorder="1" applyAlignment="1">
      <alignment/>
    </xf>
    <xf numFmtId="203" fontId="0" fillId="38" borderId="13" xfId="0" applyNumberFormat="1" applyFill="1" applyBorder="1" applyAlignment="1">
      <alignment/>
    </xf>
    <xf numFmtId="0" fontId="0" fillId="16" borderId="37" xfId="0" applyFont="1" applyFill="1" applyBorder="1" applyAlignment="1">
      <alignment/>
    </xf>
    <xf numFmtId="0" fontId="0" fillId="16" borderId="24" xfId="0" applyFont="1" applyFill="1" applyBorder="1" applyAlignment="1">
      <alignment/>
    </xf>
    <xf numFmtId="0" fontId="0" fillId="16" borderId="38" xfId="0" applyFill="1" applyBorder="1" applyAlignment="1">
      <alignment/>
    </xf>
    <xf numFmtId="0" fontId="4" fillId="42" borderId="39" xfId="0" applyFont="1" applyFill="1" applyBorder="1" applyAlignment="1">
      <alignment/>
    </xf>
    <xf numFmtId="0" fontId="0" fillId="42" borderId="40" xfId="0" applyFill="1" applyBorder="1" applyAlignment="1">
      <alignment/>
    </xf>
    <xf numFmtId="0" fontId="4" fillId="43" borderId="39" xfId="0" applyFont="1" applyFill="1" applyBorder="1" applyAlignment="1">
      <alignment/>
    </xf>
    <xf numFmtId="0" fontId="4" fillId="43" borderId="41" xfId="0" applyFont="1" applyFill="1" applyBorder="1" applyAlignment="1">
      <alignment/>
    </xf>
    <xf numFmtId="0" fontId="4" fillId="43" borderId="40" xfId="0" applyFont="1" applyFill="1" applyBorder="1" applyAlignment="1">
      <alignment/>
    </xf>
    <xf numFmtId="0" fontId="0" fillId="16" borderId="42" xfId="0" applyFont="1" applyFill="1" applyBorder="1" applyAlignment="1">
      <alignment/>
    </xf>
    <xf numFmtId="0" fontId="0" fillId="16" borderId="43" xfId="0" applyFont="1" applyFill="1" applyBorder="1" applyAlignment="1">
      <alignment/>
    </xf>
    <xf numFmtId="203" fontId="0" fillId="38" borderId="44" xfId="0" applyNumberFormat="1" applyFill="1" applyBorder="1" applyAlignment="1">
      <alignment/>
    </xf>
    <xf numFmtId="0" fontId="4" fillId="16" borderId="39" xfId="0" applyFont="1" applyFill="1" applyBorder="1" applyAlignment="1">
      <alignment/>
    </xf>
    <xf numFmtId="0" fontId="4" fillId="16" borderId="41" xfId="0" applyFont="1" applyFill="1" applyBorder="1" applyAlignment="1">
      <alignment/>
    </xf>
    <xf numFmtId="206" fontId="0" fillId="16" borderId="40" xfId="0" applyNumberFormat="1" applyFill="1" applyBorder="1" applyAlignment="1">
      <alignment/>
    </xf>
    <xf numFmtId="205" fontId="0" fillId="41" borderId="11" xfId="0" applyNumberFormat="1" applyFont="1" applyFill="1" applyBorder="1" applyAlignment="1">
      <alignment/>
    </xf>
    <xf numFmtId="0" fontId="0" fillId="43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42" borderId="14" xfId="0" applyFill="1" applyBorder="1" applyAlignment="1">
      <alignment/>
    </xf>
    <xf numFmtId="0" fontId="0" fillId="0" borderId="10" xfId="0" applyBorder="1" applyAlignment="1">
      <alignment/>
    </xf>
    <xf numFmtId="0" fontId="0" fillId="39" borderId="15" xfId="0" applyFill="1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6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180975</xdr:colOff>
      <xdr:row>0</xdr:row>
      <xdr:rowOff>19050</xdr:rowOff>
    </xdr:from>
    <xdr:to>
      <xdr:col>12</xdr:col>
      <xdr:colOff>866775</xdr:colOff>
      <xdr:row>12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19050"/>
          <a:ext cx="15621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showGridLines="0" tabSelected="1" zoomScalePageLayoutView="0" workbookViewId="0" topLeftCell="A1">
      <selection activeCell="F17" sqref="F17"/>
    </sheetView>
  </sheetViews>
  <sheetFormatPr defaultColWidth="11.421875" defaultRowHeight="12.75"/>
  <cols>
    <col min="1" max="1" width="32.8515625" style="0" customWidth="1"/>
    <col min="2" max="2" width="14.57421875" style="0" customWidth="1"/>
    <col min="3" max="13" width="13.140625" style="0" customWidth="1"/>
  </cols>
  <sheetData>
    <row r="1" spans="1:13" ht="27" customHeight="1">
      <c r="A1" s="35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 customHeight="1">
      <c r="A3" s="32" t="s">
        <v>53</v>
      </c>
      <c r="B3" s="23"/>
      <c r="C3" s="23"/>
      <c r="D3" s="23"/>
      <c r="E3" s="23"/>
      <c r="F3" s="23"/>
      <c r="G3" s="23"/>
      <c r="H3" s="24"/>
      <c r="I3" s="24"/>
      <c r="J3" s="24"/>
      <c r="K3" s="24"/>
      <c r="L3" s="24"/>
      <c r="M3" s="24"/>
    </row>
    <row r="4" spans="1:13" ht="12.75" customHeight="1">
      <c r="A4" s="33" t="s">
        <v>34</v>
      </c>
      <c r="B4" s="34"/>
      <c r="C4" s="34"/>
      <c r="D4" s="23"/>
      <c r="E4" s="23"/>
      <c r="F4" s="23"/>
      <c r="G4" s="23"/>
      <c r="H4" s="24"/>
      <c r="I4" s="24"/>
      <c r="J4" s="24"/>
      <c r="K4" s="24"/>
      <c r="L4" s="24"/>
      <c r="M4" s="24"/>
    </row>
    <row r="6" ht="13.5" thickBot="1"/>
    <row r="7" spans="1:10" ht="13.5" thickBot="1">
      <c r="A7" s="123" t="s">
        <v>35</v>
      </c>
      <c r="B7" s="124"/>
      <c r="D7" s="125" t="s">
        <v>9</v>
      </c>
      <c r="E7" s="126"/>
      <c r="F7" s="127"/>
      <c r="H7" s="131" t="s">
        <v>10</v>
      </c>
      <c r="I7" s="132"/>
      <c r="J7" s="133"/>
    </row>
    <row r="8" spans="1:10" ht="13.5" thickBot="1">
      <c r="A8" s="39" t="s">
        <v>28</v>
      </c>
      <c r="B8" s="31">
        <v>25000</v>
      </c>
      <c r="D8" s="43" t="s">
        <v>27</v>
      </c>
      <c r="E8" s="44"/>
      <c r="F8" s="38">
        <v>0.25</v>
      </c>
      <c r="H8" s="128" t="s">
        <v>45</v>
      </c>
      <c r="I8" s="129"/>
      <c r="J8" s="130">
        <v>500</v>
      </c>
    </row>
    <row r="9" spans="1:10" ht="12.75">
      <c r="A9" s="40" t="s">
        <v>12</v>
      </c>
      <c r="B9" s="134">
        <v>44927</v>
      </c>
      <c r="D9" s="45" t="s">
        <v>36</v>
      </c>
      <c r="E9" s="46"/>
      <c r="F9" s="19">
        <v>0.05</v>
      </c>
      <c r="H9" s="115" t="s">
        <v>44</v>
      </c>
      <c r="I9" s="116"/>
      <c r="J9" s="117">
        <v>20</v>
      </c>
    </row>
    <row r="10" spans="1:10" ht="13.5" thickBot="1">
      <c r="A10" s="81" t="s">
        <v>38</v>
      </c>
      <c r="B10" s="82">
        <v>5</v>
      </c>
      <c r="D10" s="45" t="s">
        <v>40</v>
      </c>
      <c r="E10" s="46"/>
      <c r="F10" s="28">
        <v>800</v>
      </c>
      <c r="H10" s="64" t="s">
        <v>46</v>
      </c>
      <c r="I10" s="118"/>
      <c r="J10" s="119">
        <v>1</v>
      </c>
    </row>
    <row r="11" spans="1:22" ht="12.75">
      <c r="A11" s="41" t="s">
        <v>6</v>
      </c>
      <c r="B11" s="18">
        <v>20000</v>
      </c>
      <c r="D11" s="45" t="s">
        <v>29</v>
      </c>
      <c r="E11" s="46"/>
      <c r="F11" s="28">
        <v>0</v>
      </c>
      <c r="H11" s="120" t="s">
        <v>47</v>
      </c>
      <c r="I11" s="116"/>
      <c r="J11" s="117">
        <v>30</v>
      </c>
      <c r="P11" s="136"/>
      <c r="Q11" s="136"/>
      <c r="R11" s="136"/>
      <c r="S11" s="136"/>
      <c r="T11" s="136"/>
      <c r="U11" s="136"/>
      <c r="V11" s="136"/>
    </row>
    <row r="12" spans="1:22" ht="13.5" thickBot="1">
      <c r="A12" s="42" t="s">
        <v>26</v>
      </c>
      <c r="B12" s="36">
        <v>20</v>
      </c>
      <c r="D12" s="45" t="s">
        <v>30</v>
      </c>
      <c r="E12" s="46"/>
      <c r="F12" s="28">
        <v>500</v>
      </c>
      <c r="H12" s="64" t="s">
        <v>48</v>
      </c>
      <c r="I12" s="118"/>
      <c r="J12" s="119">
        <v>2</v>
      </c>
      <c r="P12" s="136"/>
      <c r="Q12" s="136"/>
      <c r="R12" s="136"/>
      <c r="S12" s="136"/>
      <c r="T12" s="136"/>
      <c r="U12" s="136"/>
      <c r="V12" s="136"/>
    </row>
    <row r="13" spans="4:22" ht="12.75">
      <c r="D13" s="45" t="s">
        <v>31</v>
      </c>
      <c r="E13" s="46"/>
      <c r="F13" s="28">
        <v>400</v>
      </c>
      <c r="H13" s="120" t="s">
        <v>43</v>
      </c>
      <c r="I13" s="116"/>
      <c r="J13" s="117">
        <v>70</v>
      </c>
      <c r="P13" s="22"/>
      <c r="Q13" s="22"/>
      <c r="R13" s="22"/>
      <c r="S13" s="22"/>
      <c r="T13" s="22"/>
      <c r="U13" s="22"/>
      <c r="V13" s="22"/>
    </row>
    <row r="14" spans="4:22" ht="13.5" thickBot="1">
      <c r="D14" s="45" t="s">
        <v>32</v>
      </c>
      <c r="E14" s="46"/>
      <c r="F14" s="28">
        <v>500</v>
      </c>
      <c r="H14" s="64" t="s">
        <v>49</v>
      </c>
      <c r="I14" s="118"/>
      <c r="J14" s="119">
        <v>3</v>
      </c>
      <c r="P14" s="22"/>
      <c r="Q14" s="22"/>
      <c r="R14" s="22"/>
      <c r="S14" s="22"/>
      <c r="T14" s="22"/>
      <c r="U14" s="22"/>
      <c r="V14" s="22"/>
    </row>
    <row r="15" spans="1:10" ht="12.75">
      <c r="A15" s="83" t="s">
        <v>54</v>
      </c>
      <c r="B15" s="84"/>
      <c r="D15" s="47" t="s">
        <v>16</v>
      </c>
      <c r="E15" s="48"/>
      <c r="F15" s="28">
        <v>1300</v>
      </c>
      <c r="H15" s="121" t="s">
        <v>51</v>
      </c>
      <c r="I15" s="122"/>
      <c r="J15" s="110">
        <v>250</v>
      </c>
    </row>
    <row r="16" spans="1:10" ht="13.5" thickBot="1">
      <c r="A16" s="85" t="str">
        <f>IF(B16&gt;0,"Gewinn","Verlust")</f>
        <v>Verlust</v>
      </c>
      <c r="B16" s="86">
        <f>SUM(D57:H57)</f>
        <v>-4050.246955000004</v>
      </c>
      <c r="D16" s="49" t="s">
        <v>33</v>
      </c>
      <c r="E16" s="50"/>
      <c r="F16" s="37">
        <v>0.03</v>
      </c>
      <c r="H16" s="64" t="s">
        <v>50</v>
      </c>
      <c r="I16" s="65"/>
      <c r="J16" s="109">
        <v>2</v>
      </c>
    </row>
    <row r="17" spans="1:7" ht="12.75">
      <c r="A17" s="83" t="s">
        <v>39</v>
      </c>
      <c r="B17" s="84"/>
      <c r="D17" s="73"/>
      <c r="E17" s="73"/>
      <c r="F17" s="73"/>
      <c r="G17" s="74"/>
    </row>
    <row r="18" spans="1:6" ht="13.5" thickBot="1">
      <c r="A18" s="85" t="str">
        <f>IF(B18&gt;0,"Gewinn","Verlust")</f>
        <v>Gewinn</v>
      </c>
      <c r="B18" s="86">
        <f>SUM(D57:M57)</f>
        <v>11998.663786910973</v>
      </c>
      <c r="C18" s="17"/>
      <c r="E18" s="30"/>
      <c r="F18" s="30"/>
    </row>
    <row r="19" spans="1:6" ht="12.75">
      <c r="A19" s="83" t="s">
        <v>59</v>
      </c>
      <c r="B19" s="84"/>
      <c r="C19" s="17"/>
      <c r="E19" s="30"/>
      <c r="F19" s="30"/>
    </row>
    <row r="20" spans="1:6" ht="13.5" thickBot="1">
      <c r="A20" s="85" t="str">
        <f>IF(B20&gt;0,"Gewinn","Verlust")</f>
        <v>Verlust</v>
      </c>
      <c r="B20" s="86">
        <f>B18-Abschreibung!B45</f>
        <v>-13001.336213089027</v>
      </c>
      <c r="C20" s="17"/>
      <c r="E20" s="30"/>
      <c r="F20" s="30"/>
    </row>
    <row r="21" spans="2:14" ht="27" customHeight="1">
      <c r="B21" s="20"/>
      <c r="C21" s="20"/>
      <c r="D21" s="63" t="str">
        <f>"Kalkulation für "&amp;Abschreibung!B5</f>
        <v>Kalkulation für 2023</v>
      </c>
      <c r="E21" s="63" t="str">
        <f>"Kalkulation für "&amp;Abschreibung!C5</f>
        <v>Kalkulation für 2024</v>
      </c>
      <c r="F21" s="63" t="str">
        <f>"Kalkulation für "&amp;Abschreibung!D5</f>
        <v>Kalkulation für 2025</v>
      </c>
      <c r="G21" s="63" t="str">
        <f>"Kalkulation für "&amp;Abschreibung!E5</f>
        <v>Kalkulation für 2026</v>
      </c>
      <c r="H21" s="63" t="str">
        <f>"Kalkulation für "&amp;Abschreibung!F5</f>
        <v>Kalkulation für 2027</v>
      </c>
      <c r="I21" s="63" t="str">
        <f>"Kalkulation für "&amp;Abschreibung!G5</f>
        <v>Kalkulation für 2028</v>
      </c>
      <c r="J21" s="63" t="str">
        <f>"Kalkulation für "&amp;Abschreibung!H5</f>
        <v>Kalkulation für 2029</v>
      </c>
      <c r="K21" s="63" t="str">
        <f>"Kalkulation für "&amp;Abschreibung!I5</f>
        <v>Kalkulation für 2030</v>
      </c>
      <c r="L21" s="63" t="str">
        <f>"Kalkulation für "&amp;Abschreibung!J5</f>
        <v>Kalkulation für 2031</v>
      </c>
      <c r="M21" s="87" t="str">
        <f>"Kalkulation für "&amp;Abschreibung!K5</f>
        <v>Kalkulation für 2032</v>
      </c>
      <c r="N21" s="15"/>
    </row>
    <row r="22" spans="1:14" ht="15.75">
      <c r="A22" s="54" t="s">
        <v>9</v>
      </c>
      <c r="B22" s="55"/>
      <c r="C22" s="55"/>
      <c r="D22" s="56"/>
      <c r="E22" s="57"/>
      <c r="F22" s="57"/>
      <c r="G22" s="57"/>
      <c r="H22" s="57"/>
      <c r="I22" s="111"/>
      <c r="J22" s="57"/>
      <c r="K22" s="57"/>
      <c r="L22" s="57"/>
      <c r="M22" s="88"/>
      <c r="N22" s="15"/>
    </row>
    <row r="23" spans="1:14" ht="12.75">
      <c r="A23" s="55" t="s">
        <v>5</v>
      </c>
      <c r="B23" s="55"/>
      <c r="C23" s="55"/>
      <c r="D23" s="57"/>
      <c r="E23" s="57"/>
      <c r="F23" s="57"/>
      <c r="G23" s="57"/>
      <c r="H23" s="57"/>
      <c r="I23" s="57"/>
      <c r="J23" s="57"/>
      <c r="K23" s="57"/>
      <c r="L23" s="57"/>
      <c r="M23" s="89"/>
      <c r="N23" s="15"/>
    </row>
    <row r="24" spans="1:14" ht="12.75">
      <c r="A24" s="55"/>
      <c r="B24" s="55" t="s">
        <v>0</v>
      </c>
      <c r="C24" s="55"/>
      <c r="D24" s="58">
        <f>Abschreibung!B19</f>
        <v>5040</v>
      </c>
      <c r="E24" s="58">
        <f>Abschreibung!C19</f>
        <v>5040</v>
      </c>
      <c r="F24" s="58">
        <f>Abschreibung!D19</f>
        <v>5040</v>
      </c>
      <c r="G24" s="58">
        <f>Abschreibung!E19</f>
        <v>5040</v>
      </c>
      <c r="H24" s="58">
        <f>Abschreibung!F19</f>
        <v>4590</v>
      </c>
      <c r="I24" s="58">
        <f>Abschreibung!G19</f>
        <v>0</v>
      </c>
      <c r="J24" s="58">
        <f>Abschreibung!H19</f>
        <v>0</v>
      </c>
      <c r="K24" s="58">
        <f>Abschreibung!I19</f>
        <v>0</v>
      </c>
      <c r="L24" s="58">
        <f>Abschreibung!J19</f>
        <v>0</v>
      </c>
      <c r="M24" s="90">
        <f>Abschreibung!K19</f>
        <v>0</v>
      </c>
      <c r="N24" s="15"/>
    </row>
    <row r="25" spans="1:14" ht="12.75">
      <c r="A25" s="55" t="s">
        <v>17</v>
      </c>
      <c r="B25" s="55"/>
      <c r="C25" s="55"/>
      <c r="D25" s="58"/>
      <c r="E25" s="58"/>
      <c r="F25" s="58"/>
      <c r="G25" s="58"/>
      <c r="H25" s="58"/>
      <c r="I25" s="58"/>
      <c r="J25" s="58"/>
      <c r="K25" s="58"/>
      <c r="L25" s="58"/>
      <c r="M25" s="90"/>
      <c r="N25" s="15"/>
    </row>
    <row r="26" spans="1:14" ht="12.75">
      <c r="A26" s="55"/>
      <c r="B26" s="135" t="s">
        <v>58</v>
      </c>
      <c r="C26" s="55"/>
      <c r="D26" s="58">
        <v>0</v>
      </c>
      <c r="E26" s="58">
        <f>D26</f>
        <v>0</v>
      </c>
      <c r="F26" s="58">
        <f aca="true" t="shared" si="0" ref="F26:L26">E26</f>
        <v>0</v>
      </c>
      <c r="G26" s="58">
        <f t="shared" si="0"/>
        <v>0</v>
      </c>
      <c r="H26" s="58">
        <f t="shared" si="0"/>
        <v>0</v>
      </c>
      <c r="I26" s="58">
        <f t="shared" si="0"/>
        <v>0</v>
      </c>
      <c r="J26" s="58">
        <f t="shared" si="0"/>
        <v>0</v>
      </c>
      <c r="K26" s="58">
        <f t="shared" si="0"/>
        <v>0</v>
      </c>
      <c r="L26" s="58">
        <f t="shared" si="0"/>
        <v>0</v>
      </c>
      <c r="M26" s="90">
        <f>L26</f>
        <v>0</v>
      </c>
      <c r="N26" s="15"/>
    </row>
    <row r="27" spans="1:14" ht="12.75">
      <c r="A27" s="55"/>
      <c r="B27" s="60" t="s">
        <v>1</v>
      </c>
      <c r="C27" s="60"/>
      <c r="D27" s="58">
        <f>($F$15*(12-MONTH($B$9)+1))/12</f>
        <v>1300</v>
      </c>
      <c r="E27" s="58">
        <f>F15*(1+$F$16)</f>
        <v>1339</v>
      </c>
      <c r="F27" s="58">
        <f>E27*(1+$F$16)</f>
        <v>1379.17</v>
      </c>
      <c r="G27" s="58">
        <f aca="true" t="shared" si="1" ref="G27:M27">F27*(1+$F$16)</f>
        <v>1420.5451</v>
      </c>
      <c r="H27" s="58">
        <f t="shared" si="1"/>
        <v>1463.1614530000002</v>
      </c>
      <c r="I27" s="58">
        <f t="shared" si="1"/>
        <v>1507.05629659</v>
      </c>
      <c r="J27" s="58">
        <f t="shared" si="1"/>
        <v>1552.2679854877001</v>
      </c>
      <c r="K27" s="58">
        <f t="shared" si="1"/>
        <v>1598.8360250523313</v>
      </c>
      <c r="L27" s="58">
        <f t="shared" si="1"/>
        <v>1646.8011058039012</v>
      </c>
      <c r="M27" s="58">
        <f t="shared" si="1"/>
        <v>1696.2051389780183</v>
      </c>
      <c r="N27" s="15"/>
    </row>
    <row r="28" spans="1:14" ht="12.75">
      <c r="A28" s="55" t="s">
        <v>2</v>
      </c>
      <c r="B28" s="55"/>
      <c r="C28" s="55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15"/>
    </row>
    <row r="29" spans="1:14" ht="12.75">
      <c r="A29" s="55"/>
      <c r="B29" s="55" t="s">
        <v>3</v>
      </c>
      <c r="C29" s="55"/>
      <c r="D29" s="58">
        <f>($F$11*(12-MONTH($B$9)+1))/12</f>
        <v>0</v>
      </c>
      <c r="E29" s="58">
        <f>F11*(1+$F$16)</f>
        <v>0</v>
      </c>
      <c r="F29" s="58">
        <f>E29*(1+$F$16)</f>
        <v>0</v>
      </c>
      <c r="G29" s="58">
        <f aca="true" t="shared" si="2" ref="G29:M29">F29*(1+$F$16)</f>
        <v>0</v>
      </c>
      <c r="H29" s="58">
        <f t="shared" si="2"/>
        <v>0</v>
      </c>
      <c r="I29" s="58">
        <f t="shared" si="2"/>
        <v>0</v>
      </c>
      <c r="J29" s="58">
        <f t="shared" si="2"/>
        <v>0</v>
      </c>
      <c r="K29" s="58">
        <f t="shared" si="2"/>
        <v>0</v>
      </c>
      <c r="L29" s="58">
        <f t="shared" si="2"/>
        <v>0</v>
      </c>
      <c r="M29" s="58">
        <f t="shared" si="2"/>
        <v>0</v>
      </c>
      <c r="N29" s="15"/>
    </row>
    <row r="30" spans="1:14" ht="12.75">
      <c r="A30" s="55"/>
      <c r="B30" s="55" t="s">
        <v>4</v>
      </c>
      <c r="C30" s="55"/>
      <c r="D30" s="58">
        <f>F12</f>
        <v>500</v>
      </c>
      <c r="E30" s="58">
        <f>F12*(1+$F$16)</f>
        <v>515</v>
      </c>
      <c r="F30" s="58">
        <f>E30*(1+$F$16)</f>
        <v>530.45</v>
      </c>
      <c r="G30" s="58">
        <f aca="true" t="shared" si="3" ref="G30:M30">F30*(1+$F$16)</f>
        <v>546.3635</v>
      </c>
      <c r="H30" s="58">
        <f t="shared" si="3"/>
        <v>562.754405</v>
      </c>
      <c r="I30" s="58">
        <f t="shared" si="3"/>
        <v>579.6370371500001</v>
      </c>
      <c r="J30" s="58">
        <f t="shared" si="3"/>
        <v>597.0261482645001</v>
      </c>
      <c r="K30" s="58">
        <f t="shared" si="3"/>
        <v>614.9369327124351</v>
      </c>
      <c r="L30" s="58">
        <f t="shared" si="3"/>
        <v>633.3850406938082</v>
      </c>
      <c r="M30" s="58">
        <f t="shared" si="3"/>
        <v>652.3865919146224</v>
      </c>
      <c r="N30" s="15"/>
    </row>
    <row r="31" spans="1:14" ht="12.75">
      <c r="A31" s="55"/>
      <c r="B31" s="55" t="s">
        <v>25</v>
      </c>
      <c r="C31" s="55"/>
      <c r="D31" s="58">
        <f>($F$13*(12-MONTH($B$9)+1))/12</f>
        <v>400</v>
      </c>
      <c r="E31" s="58">
        <f>F13*(1+$F$16)</f>
        <v>412</v>
      </c>
      <c r="F31" s="58">
        <f>E31*(1+$F$16)</f>
        <v>424.36</v>
      </c>
      <c r="G31" s="58">
        <f aca="true" t="shared" si="4" ref="G31:M31">F31*(1+$F$16)</f>
        <v>437.0908</v>
      </c>
      <c r="H31" s="58">
        <f t="shared" si="4"/>
        <v>450.203524</v>
      </c>
      <c r="I31" s="58">
        <f t="shared" si="4"/>
        <v>463.70962972</v>
      </c>
      <c r="J31" s="58">
        <f t="shared" si="4"/>
        <v>477.6209186116</v>
      </c>
      <c r="K31" s="58">
        <f t="shared" si="4"/>
        <v>491.949546169948</v>
      </c>
      <c r="L31" s="58">
        <f t="shared" si="4"/>
        <v>506.7080325550465</v>
      </c>
      <c r="M31" s="58">
        <f t="shared" si="4"/>
        <v>521.9092735316979</v>
      </c>
      <c r="N31" s="15"/>
    </row>
    <row r="32" spans="1:14" ht="12.75">
      <c r="A32" s="55"/>
      <c r="B32" s="55" t="s">
        <v>18</v>
      </c>
      <c r="C32" s="55"/>
      <c r="D32" s="58">
        <f>($F$14*(12-MONTH($B$9)+1))/12</f>
        <v>500</v>
      </c>
      <c r="E32" s="58">
        <f>F14*(1+$F$16)</f>
        <v>515</v>
      </c>
      <c r="F32" s="58">
        <f>E32*(1+$F$16)</f>
        <v>530.45</v>
      </c>
      <c r="G32" s="58">
        <f aca="true" t="shared" si="5" ref="G32:M32">F32*(1+$F$16)</f>
        <v>546.3635</v>
      </c>
      <c r="H32" s="58">
        <f t="shared" si="5"/>
        <v>562.754405</v>
      </c>
      <c r="I32" s="58">
        <f t="shared" si="5"/>
        <v>579.6370371500001</v>
      </c>
      <c r="J32" s="58">
        <f t="shared" si="5"/>
        <v>597.0261482645001</v>
      </c>
      <c r="K32" s="58">
        <f t="shared" si="5"/>
        <v>614.9369327124351</v>
      </c>
      <c r="L32" s="58">
        <f t="shared" si="5"/>
        <v>633.3850406938082</v>
      </c>
      <c r="M32" s="58">
        <f t="shared" si="5"/>
        <v>652.3865919146224</v>
      </c>
      <c r="N32" s="15"/>
    </row>
    <row r="33" spans="1:14" ht="12.75">
      <c r="A33" s="55"/>
      <c r="B33" s="55"/>
      <c r="C33" s="55"/>
      <c r="D33" s="58"/>
      <c r="E33" s="58"/>
      <c r="F33" s="58"/>
      <c r="G33" s="58"/>
      <c r="H33" s="58"/>
      <c r="I33" s="58"/>
      <c r="J33" s="58"/>
      <c r="K33" s="58"/>
      <c r="L33" s="58"/>
      <c r="M33" s="90"/>
      <c r="N33" s="15"/>
    </row>
    <row r="34" spans="1:14" ht="12.75">
      <c r="A34" s="59" t="s">
        <v>57</v>
      </c>
      <c r="B34" s="55"/>
      <c r="C34" s="55"/>
      <c r="D34" s="58">
        <f>($F$10*(12-MONTH($B$9)+1))/12</f>
        <v>800</v>
      </c>
      <c r="E34" s="58">
        <f>F10*(1+$F$16)</f>
        <v>824</v>
      </c>
      <c r="F34" s="58">
        <f>E34*(1+$F$16)</f>
        <v>848.72</v>
      </c>
      <c r="G34" s="58">
        <f aca="true" t="shared" si="6" ref="G34:M34">F34*(1+$F$16)</f>
        <v>874.1816</v>
      </c>
      <c r="H34" s="58">
        <f t="shared" si="6"/>
        <v>900.407048</v>
      </c>
      <c r="I34" s="58">
        <f t="shared" si="6"/>
        <v>927.41925944</v>
      </c>
      <c r="J34" s="58">
        <f t="shared" si="6"/>
        <v>955.2418372232</v>
      </c>
      <c r="K34" s="58">
        <f t="shared" si="6"/>
        <v>983.899092339896</v>
      </c>
      <c r="L34" s="58">
        <f t="shared" si="6"/>
        <v>1013.416065110093</v>
      </c>
      <c r="M34" s="58">
        <f t="shared" si="6"/>
        <v>1043.8185470633957</v>
      </c>
      <c r="N34" s="15"/>
    </row>
    <row r="35" spans="1:14" ht="12.75">
      <c r="A35" s="55"/>
      <c r="B35" s="55"/>
      <c r="C35" s="55"/>
      <c r="D35" s="58"/>
      <c r="E35" s="58"/>
      <c r="F35" s="58"/>
      <c r="G35" s="58"/>
      <c r="H35" s="58"/>
      <c r="I35" s="58"/>
      <c r="J35" s="58"/>
      <c r="K35" s="58"/>
      <c r="L35" s="58"/>
      <c r="M35" s="90"/>
      <c r="N35" s="15"/>
    </row>
    <row r="36" spans="1:14" ht="12.75">
      <c r="A36" s="55" t="s">
        <v>19</v>
      </c>
      <c r="B36" s="55"/>
      <c r="C36" s="55"/>
      <c r="D36" s="58">
        <f>SUM(D24:D35)</f>
        <v>8540</v>
      </c>
      <c r="E36" s="58">
        <f>SUM(E24:E35)</f>
        <v>8645</v>
      </c>
      <c r="F36" s="58">
        <f aca="true" t="shared" si="7" ref="F36:L36">SUM(F24:F35)</f>
        <v>8753.15</v>
      </c>
      <c r="G36" s="58">
        <f t="shared" si="7"/>
        <v>8864.544500000002</v>
      </c>
      <c r="H36" s="58">
        <f t="shared" si="7"/>
        <v>8529.280835000001</v>
      </c>
      <c r="I36" s="58">
        <f t="shared" si="7"/>
        <v>4057.4592600500005</v>
      </c>
      <c r="J36" s="58">
        <f t="shared" si="7"/>
        <v>4179.183037851501</v>
      </c>
      <c r="K36" s="58">
        <f t="shared" si="7"/>
        <v>4304.558528987045</v>
      </c>
      <c r="L36" s="58">
        <f t="shared" si="7"/>
        <v>4433.695284856657</v>
      </c>
      <c r="M36" s="90">
        <f>SUM(M24:M35)</f>
        <v>4566.706143402357</v>
      </c>
      <c r="N36" s="15"/>
    </row>
    <row r="37" spans="1:14" ht="12.75">
      <c r="A37" s="55"/>
      <c r="B37" s="55" t="s">
        <v>20</v>
      </c>
      <c r="C37" s="55"/>
      <c r="D37" s="58">
        <f aca="true" t="shared" si="8" ref="D37:M37">D36/$B11</f>
        <v>0.427</v>
      </c>
      <c r="E37" s="58">
        <f t="shared" si="8"/>
        <v>0.43225</v>
      </c>
      <c r="F37" s="58">
        <f t="shared" si="8"/>
        <v>0.4376575</v>
      </c>
      <c r="G37" s="58">
        <f t="shared" si="8"/>
        <v>0.4432272250000001</v>
      </c>
      <c r="H37" s="58">
        <f t="shared" si="8"/>
        <v>0.4264640417500001</v>
      </c>
      <c r="I37" s="58">
        <f t="shared" si="8"/>
        <v>0.20287296300250002</v>
      </c>
      <c r="J37" s="58">
        <f t="shared" si="8"/>
        <v>0.20895915189257502</v>
      </c>
      <c r="K37" s="58">
        <f t="shared" si="8"/>
        <v>0.21522792644935226</v>
      </c>
      <c r="L37" s="58">
        <f t="shared" si="8"/>
        <v>0.22168476424283284</v>
      </c>
      <c r="M37" s="90">
        <f t="shared" si="8"/>
        <v>0.22833530717011785</v>
      </c>
      <c r="N37" s="15"/>
    </row>
    <row r="38" spans="4:14" ht="6.75" customHeight="1">
      <c r="D38" s="21"/>
      <c r="E38" s="21"/>
      <c r="F38" s="21"/>
      <c r="G38" s="21"/>
      <c r="H38" s="21"/>
      <c r="I38" s="21"/>
      <c r="J38" s="21"/>
      <c r="K38" s="21"/>
      <c r="L38" s="21"/>
      <c r="M38" s="91"/>
      <c r="N38" s="15"/>
    </row>
    <row r="39" spans="1:14" ht="12.75">
      <c r="A39" s="51" t="s">
        <v>21</v>
      </c>
      <c r="B39" s="51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92"/>
      <c r="N39" s="15"/>
    </row>
    <row r="40" spans="1:14" ht="12.75">
      <c r="A40" s="51"/>
      <c r="B40" s="53" t="s">
        <v>27</v>
      </c>
      <c r="C40" s="51"/>
      <c r="D40" s="52">
        <f>(B11*F8*$B$12/100)*(12-MONTH($B$9)+1)/12</f>
        <v>1000</v>
      </c>
      <c r="E40" s="52">
        <f>B11*B12/100*F8*(1+$F16)</f>
        <v>1030</v>
      </c>
      <c r="F40" s="52">
        <f>E40*(1+$F16)</f>
        <v>1060.9</v>
      </c>
      <c r="G40" s="52">
        <f aca="true" t="shared" si="9" ref="G40:M40">F40*(1+$F16)</f>
        <v>1092.727</v>
      </c>
      <c r="H40" s="52">
        <f t="shared" si="9"/>
        <v>1125.50881</v>
      </c>
      <c r="I40" s="52">
        <f t="shared" si="9"/>
        <v>1159.2740743000002</v>
      </c>
      <c r="J40" s="52">
        <f t="shared" si="9"/>
        <v>1194.0522965290002</v>
      </c>
      <c r="K40" s="52">
        <f t="shared" si="9"/>
        <v>1229.8738654248702</v>
      </c>
      <c r="L40" s="52">
        <f t="shared" si="9"/>
        <v>1266.7700813876163</v>
      </c>
      <c r="M40" s="52">
        <f t="shared" si="9"/>
        <v>1304.7731838292448</v>
      </c>
      <c r="N40" s="15"/>
    </row>
    <row r="41" spans="1:14" ht="12.75">
      <c r="A41" s="51"/>
      <c r="B41" s="53" t="s">
        <v>36</v>
      </c>
      <c r="C41" s="51"/>
      <c r="D41" s="52">
        <f>($B$11*F9*(12-MONTH($B$9)+1))/12</f>
        <v>1000</v>
      </c>
      <c r="E41" s="52">
        <f>B11*F9*(1+$F16)</f>
        <v>1030</v>
      </c>
      <c r="F41" s="52">
        <f>E41*(1+$F16)</f>
        <v>1060.9</v>
      </c>
      <c r="G41" s="52">
        <f aca="true" t="shared" si="10" ref="G41:M41">F41*(1+$F16)</f>
        <v>1092.727</v>
      </c>
      <c r="H41" s="52">
        <f t="shared" si="10"/>
        <v>1125.50881</v>
      </c>
      <c r="I41" s="52">
        <f t="shared" si="10"/>
        <v>1159.2740743000002</v>
      </c>
      <c r="J41" s="52">
        <f t="shared" si="10"/>
        <v>1194.0522965290002</v>
      </c>
      <c r="K41" s="52">
        <f t="shared" si="10"/>
        <v>1229.8738654248702</v>
      </c>
      <c r="L41" s="52">
        <f t="shared" si="10"/>
        <v>1266.7700813876163</v>
      </c>
      <c r="M41" s="52">
        <f t="shared" si="10"/>
        <v>1304.7731838292448</v>
      </c>
      <c r="N41" s="15"/>
    </row>
    <row r="42" spans="1:14" ht="12.75">
      <c r="A42" s="51"/>
      <c r="B42" s="51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92"/>
      <c r="N42" s="15"/>
    </row>
    <row r="43" spans="1:14" ht="12.75">
      <c r="A43" s="51" t="s">
        <v>22</v>
      </c>
      <c r="B43" s="51"/>
      <c r="C43" s="51"/>
      <c r="D43" s="52">
        <f>SUM(D40:D42)</f>
        <v>2000</v>
      </c>
      <c r="E43" s="52">
        <f>SUM(E40:E42)</f>
        <v>2060</v>
      </c>
      <c r="F43" s="52">
        <f aca="true" t="shared" si="11" ref="F43:L43">SUM(F40:F42)</f>
        <v>2121.8</v>
      </c>
      <c r="G43" s="52">
        <f t="shared" si="11"/>
        <v>2185.454</v>
      </c>
      <c r="H43" s="52">
        <f t="shared" si="11"/>
        <v>2251.01762</v>
      </c>
      <c r="I43" s="52">
        <f t="shared" si="11"/>
        <v>2318.5481486000003</v>
      </c>
      <c r="J43" s="52">
        <f t="shared" si="11"/>
        <v>2388.1045930580003</v>
      </c>
      <c r="K43" s="52">
        <f t="shared" si="11"/>
        <v>2459.7477308497405</v>
      </c>
      <c r="L43" s="52">
        <f t="shared" si="11"/>
        <v>2533.5401627752326</v>
      </c>
      <c r="M43" s="92">
        <f>SUM(M40:M42)</f>
        <v>2609.5463676584895</v>
      </c>
      <c r="N43" s="15"/>
    </row>
    <row r="44" spans="1:14" s="75" customFormat="1" ht="12.75">
      <c r="A44" s="76"/>
      <c r="B44" s="76" t="s">
        <v>24</v>
      </c>
      <c r="C44" s="76"/>
      <c r="D44" s="77">
        <f aca="true" t="shared" si="12" ref="D44:M44">D43/$B11</f>
        <v>0.1</v>
      </c>
      <c r="E44" s="77">
        <f t="shared" si="12"/>
        <v>0.103</v>
      </c>
      <c r="F44" s="77">
        <f t="shared" si="12"/>
        <v>0.10609</v>
      </c>
      <c r="G44" s="77">
        <f t="shared" si="12"/>
        <v>0.10927270000000001</v>
      </c>
      <c r="H44" s="77">
        <f t="shared" si="12"/>
        <v>0.112550881</v>
      </c>
      <c r="I44" s="77">
        <f t="shared" si="12"/>
        <v>0.11592740743000002</v>
      </c>
      <c r="J44" s="77">
        <f t="shared" si="12"/>
        <v>0.11940522965290001</v>
      </c>
      <c r="K44" s="77">
        <f t="shared" si="12"/>
        <v>0.12298738654248702</v>
      </c>
      <c r="L44" s="77">
        <f t="shared" si="12"/>
        <v>0.12667700813876162</v>
      </c>
      <c r="M44" s="93">
        <f t="shared" si="12"/>
        <v>0.13047731838292448</v>
      </c>
      <c r="N44" s="94"/>
    </row>
    <row r="45" spans="4:14" ht="6.75" customHeight="1">
      <c r="D45" s="21"/>
      <c r="E45" s="21"/>
      <c r="F45" s="21"/>
      <c r="G45" s="21"/>
      <c r="H45" s="21"/>
      <c r="I45" s="21"/>
      <c r="J45" s="21"/>
      <c r="K45" s="21"/>
      <c r="L45" s="21"/>
      <c r="M45" s="91"/>
      <c r="N45" s="15"/>
    </row>
    <row r="46" spans="1:14" ht="12.75">
      <c r="A46" s="61" t="s">
        <v>23</v>
      </c>
      <c r="B46" s="29"/>
      <c r="C46" s="29"/>
      <c r="D46" s="62">
        <f>D43+D36</f>
        <v>10540</v>
      </c>
      <c r="E46" s="62">
        <f>E43+E36</f>
        <v>10705</v>
      </c>
      <c r="F46" s="62">
        <f aca="true" t="shared" si="13" ref="F46:L46">F43+F36</f>
        <v>10874.95</v>
      </c>
      <c r="G46" s="62">
        <f t="shared" si="13"/>
        <v>11049.998500000002</v>
      </c>
      <c r="H46" s="62">
        <f t="shared" si="13"/>
        <v>10780.298455000002</v>
      </c>
      <c r="I46" s="62">
        <f t="shared" si="13"/>
        <v>6376.007408650001</v>
      </c>
      <c r="J46" s="62">
        <f t="shared" si="13"/>
        <v>6567.287630909501</v>
      </c>
      <c r="K46" s="62">
        <f t="shared" si="13"/>
        <v>6764.306259836785</v>
      </c>
      <c r="L46" s="62">
        <f t="shared" si="13"/>
        <v>6967.23544763189</v>
      </c>
      <c r="M46" s="95">
        <f>M43+M36</f>
        <v>7176.252511060847</v>
      </c>
      <c r="N46" s="15"/>
    </row>
    <row r="47" spans="1:14" s="75" customFormat="1" ht="12.75">
      <c r="A47" s="78"/>
      <c r="B47" s="79" t="s">
        <v>42</v>
      </c>
      <c r="C47" s="79"/>
      <c r="D47" s="80">
        <f aca="true" t="shared" si="14" ref="D47:M47">D46/$B11</f>
        <v>0.527</v>
      </c>
      <c r="E47" s="80">
        <f t="shared" si="14"/>
        <v>0.53525</v>
      </c>
      <c r="F47" s="80">
        <f t="shared" si="14"/>
        <v>0.5437475</v>
      </c>
      <c r="G47" s="80">
        <f t="shared" si="14"/>
        <v>0.5524999250000001</v>
      </c>
      <c r="H47" s="80">
        <f t="shared" si="14"/>
        <v>0.5390149227500001</v>
      </c>
      <c r="I47" s="80">
        <f t="shared" si="14"/>
        <v>0.31880037043250004</v>
      </c>
      <c r="J47" s="80">
        <f t="shared" si="14"/>
        <v>0.32836438154547504</v>
      </c>
      <c r="K47" s="80">
        <f t="shared" si="14"/>
        <v>0.33821531299183927</v>
      </c>
      <c r="L47" s="80">
        <f t="shared" si="14"/>
        <v>0.3483617723815945</v>
      </c>
      <c r="M47" s="96">
        <f t="shared" si="14"/>
        <v>0.35881262555304233</v>
      </c>
      <c r="N47" s="94"/>
    </row>
    <row r="48" spans="4:13" s="15" customFormat="1" ht="12.75">
      <c r="D48" s="114"/>
      <c r="E48" s="114"/>
      <c r="F48" s="114"/>
      <c r="G48" s="114"/>
      <c r="H48" s="114"/>
      <c r="M48" s="114"/>
    </row>
    <row r="49" spans="1:14" ht="15.75">
      <c r="A49" s="66" t="s">
        <v>10</v>
      </c>
      <c r="B49" s="67"/>
      <c r="C49" s="67"/>
      <c r="D49" s="68"/>
      <c r="E49" s="68"/>
      <c r="F49" s="68"/>
      <c r="G49" s="68"/>
      <c r="H49" s="68"/>
      <c r="I49" s="112"/>
      <c r="J49" s="113"/>
      <c r="K49" s="113"/>
      <c r="L49" s="113"/>
      <c r="M49" s="97"/>
      <c r="N49" s="15"/>
    </row>
    <row r="50" spans="1:14" ht="12.75">
      <c r="A50" s="67"/>
      <c r="B50" s="69" t="s">
        <v>55</v>
      </c>
      <c r="C50" s="67"/>
      <c r="D50" s="68">
        <f>(($J$9*$J$10)+($J11*$J12)+($J13*$J14))*(13-MONTH($B9))</f>
        <v>3480</v>
      </c>
      <c r="E50" s="68">
        <f>(($J$9*$J$10)+($J11*$J12)+($J13*$J14))*12</f>
        <v>3480</v>
      </c>
      <c r="F50" s="68">
        <f aca="true" t="shared" si="15" ref="F50:M50">(($J$9*$J$10)+($J11*$J12)+($J13*$J14))*12</f>
        <v>3480</v>
      </c>
      <c r="G50" s="68">
        <f t="shared" si="15"/>
        <v>3480</v>
      </c>
      <c r="H50" s="68">
        <f t="shared" si="15"/>
        <v>3480</v>
      </c>
      <c r="I50" s="68">
        <f t="shared" si="15"/>
        <v>3480</v>
      </c>
      <c r="J50" s="68">
        <f t="shared" si="15"/>
        <v>3480</v>
      </c>
      <c r="K50" s="68">
        <f t="shared" si="15"/>
        <v>3480</v>
      </c>
      <c r="L50" s="68">
        <f t="shared" si="15"/>
        <v>3480</v>
      </c>
      <c r="M50" s="68">
        <f t="shared" si="15"/>
        <v>3480</v>
      </c>
      <c r="N50" s="15"/>
    </row>
    <row r="51" spans="1:14" ht="12.75">
      <c r="A51" s="67"/>
      <c r="B51" s="69" t="s">
        <v>52</v>
      </c>
      <c r="C51" s="67"/>
      <c r="D51" s="68">
        <f>$J15*$J16*(13-MONTH(B9))</f>
        <v>6000</v>
      </c>
      <c r="E51" s="68">
        <f>$J15*$J16*12</f>
        <v>6000</v>
      </c>
      <c r="F51" s="68">
        <f>$J15*$J16*12</f>
        <v>6000</v>
      </c>
      <c r="G51" s="68">
        <f aca="true" t="shared" si="16" ref="G51:M51">$J15*$J16*12</f>
        <v>6000</v>
      </c>
      <c r="H51" s="68">
        <f t="shared" si="16"/>
        <v>6000</v>
      </c>
      <c r="I51" s="68">
        <f t="shared" si="16"/>
        <v>6000</v>
      </c>
      <c r="J51" s="68">
        <f t="shared" si="16"/>
        <v>6000</v>
      </c>
      <c r="K51" s="68">
        <f t="shared" si="16"/>
        <v>6000</v>
      </c>
      <c r="L51" s="68">
        <f t="shared" si="16"/>
        <v>6000</v>
      </c>
      <c r="M51" s="68">
        <f t="shared" si="16"/>
        <v>6000</v>
      </c>
      <c r="N51" s="15"/>
    </row>
    <row r="52" spans="1:14" ht="12.75">
      <c r="A52" s="67"/>
      <c r="B52" s="69" t="s">
        <v>56</v>
      </c>
      <c r="C52" s="67"/>
      <c r="D52" s="68">
        <f>$J$8*(12-MONTH($B$9)+1)/12</f>
        <v>500</v>
      </c>
      <c r="E52" s="68">
        <f>$J$8</f>
        <v>500</v>
      </c>
      <c r="F52" s="68">
        <f aca="true" t="shared" si="17" ref="F52:M52">$J$8</f>
        <v>500</v>
      </c>
      <c r="G52" s="68">
        <f t="shared" si="17"/>
        <v>500</v>
      </c>
      <c r="H52" s="68">
        <f t="shared" si="17"/>
        <v>500</v>
      </c>
      <c r="I52" s="68">
        <f t="shared" si="17"/>
        <v>500</v>
      </c>
      <c r="J52" s="68">
        <f t="shared" si="17"/>
        <v>500</v>
      </c>
      <c r="K52" s="68">
        <f t="shared" si="17"/>
        <v>500</v>
      </c>
      <c r="L52" s="68">
        <f t="shared" si="17"/>
        <v>500</v>
      </c>
      <c r="M52" s="68">
        <f t="shared" si="17"/>
        <v>500</v>
      </c>
      <c r="N52" s="15"/>
    </row>
    <row r="53" spans="2:14" s="20" customFormat="1" ht="6.75" customHeight="1">
      <c r="B53" s="99"/>
      <c r="D53" s="100"/>
      <c r="E53" s="100"/>
      <c r="F53" s="100"/>
      <c r="G53" s="100"/>
      <c r="H53" s="100"/>
      <c r="I53" s="100"/>
      <c r="J53" s="100"/>
      <c r="K53" s="100"/>
      <c r="L53" s="100"/>
      <c r="M53" s="101"/>
      <c r="N53" s="16"/>
    </row>
    <row r="54" spans="1:14" ht="12.75">
      <c r="A54" s="102" t="s">
        <v>41</v>
      </c>
      <c r="B54" s="103"/>
      <c r="C54" s="103"/>
      <c r="D54" s="104">
        <f aca="true" t="shared" si="18" ref="D54:M54">SUM(D50:D52)</f>
        <v>9980</v>
      </c>
      <c r="E54" s="104">
        <f t="shared" si="18"/>
        <v>9980</v>
      </c>
      <c r="F54" s="104">
        <f t="shared" si="18"/>
        <v>9980</v>
      </c>
      <c r="G54" s="104">
        <f t="shared" si="18"/>
        <v>9980</v>
      </c>
      <c r="H54" s="104">
        <f t="shared" si="18"/>
        <v>9980</v>
      </c>
      <c r="I54" s="104">
        <f t="shared" si="18"/>
        <v>9980</v>
      </c>
      <c r="J54" s="104">
        <f t="shared" si="18"/>
        <v>9980</v>
      </c>
      <c r="K54" s="104">
        <f t="shared" si="18"/>
        <v>9980</v>
      </c>
      <c r="L54" s="104">
        <f t="shared" si="18"/>
        <v>9980</v>
      </c>
      <c r="M54" s="105">
        <f t="shared" si="18"/>
        <v>9980</v>
      </c>
      <c r="N54" s="15"/>
    </row>
    <row r="55" spans="1:14" s="75" customFormat="1" ht="12.75">
      <c r="A55" s="106"/>
      <c r="B55" s="106" t="s">
        <v>37</v>
      </c>
      <c r="C55" s="106"/>
      <c r="D55" s="107">
        <f aca="true" t="shared" si="19" ref="D55:M55">D54/$B11</f>
        <v>0.499</v>
      </c>
      <c r="E55" s="107">
        <f t="shared" si="19"/>
        <v>0.499</v>
      </c>
      <c r="F55" s="107">
        <f t="shared" si="19"/>
        <v>0.499</v>
      </c>
      <c r="G55" s="107">
        <f t="shared" si="19"/>
        <v>0.499</v>
      </c>
      <c r="H55" s="107">
        <f t="shared" si="19"/>
        <v>0.499</v>
      </c>
      <c r="I55" s="107">
        <f t="shared" si="19"/>
        <v>0.499</v>
      </c>
      <c r="J55" s="107">
        <f t="shared" si="19"/>
        <v>0.499</v>
      </c>
      <c r="K55" s="107">
        <f t="shared" si="19"/>
        <v>0.499</v>
      </c>
      <c r="L55" s="107">
        <f t="shared" si="19"/>
        <v>0.499</v>
      </c>
      <c r="M55" s="108">
        <f t="shared" si="19"/>
        <v>0.499</v>
      </c>
      <c r="N55" s="94"/>
    </row>
    <row r="56" spans="4:13" s="15" customFormat="1" ht="12.75">
      <c r="D56" s="114"/>
      <c r="E56" s="114"/>
      <c r="F56" s="114"/>
      <c r="G56" s="114"/>
      <c r="H56" s="114"/>
      <c r="M56" s="114"/>
    </row>
    <row r="57" spans="1:14" ht="16.5" thickBot="1">
      <c r="A57" s="70" t="s">
        <v>7</v>
      </c>
      <c r="B57" s="71"/>
      <c r="C57" s="71"/>
      <c r="D57" s="72">
        <f aca="true" t="shared" si="20" ref="D57:M57">D54-D46</f>
        <v>-560</v>
      </c>
      <c r="E57" s="72">
        <f t="shared" si="20"/>
        <v>-725</v>
      </c>
      <c r="F57" s="72">
        <f t="shared" si="20"/>
        <v>-894.9500000000007</v>
      </c>
      <c r="G57" s="72">
        <f t="shared" si="20"/>
        <v>-1069.9985000000015</v>
      </c>
      <c r="H57" s="72">
        <f t="shared" si="20"/>
        <v>-800.2984550000019</v>
      </c>
      <c r="I57" s="72">
        <f t="shared" si="20"/>
        <v>3603.992591349999</v>
      </c>
      <c r="J57" s="72">
        <f t="shared" si="20"/>
        <v>3412.712369090499</v>
      </c>
      <c r="K57" s="72">
        <f t="shared" si="20"/>
        <v>3215.693740163215</v>
      </c>
      <c r="L57" s="72">
        <f t="shared" si="20"/>
        <v>3012.7645523681103</v>
      </c>
      <c r="M57" s="98">
        <f t="shared" si="20"/>
        <v>2803.7474889391533</v>
      </c>
      <c r="N57" s="15"/>
    </row>
    <row r="58" spans="13:14" ht="13.5" thickTop="1">
      <c r="M58" s="15"/>
      <c r="N58" s="15"/>
    </row>
    <row r="59" spans="13:14" ht="12.75">
      <c r="M59" s="15"/>
      <c r="N59" s="15"/>
    </row>
    <row r="60" spans="13:14" ht="12.75">
      <c r="M60" s="15"/>
      <c r="N60" s="15"/>
    </row>
    <row r="61" spans="13:14" ht="12.75">
      <c r="M61" s="15"/>
      <c r="N61" s="15"/>
    </row>
    <row r="62" spans="13:14" ht="12.75">
      <c r="M62" s="15"/>
      <c r="N62" s="15"/>
    </row>
    <row r="63" spans="13:14" ht="12.75">
      <c r="M63" s="15"/>
      <c r="N63" s="15"/>
    </row>
    <row r="64" spans="13:14" ht="12.75">
      <c r="M64" s="15"/>
      <c r="N64" s="15"/>
    </row>
    <row r="65" spans="13:14" ht="12.75">
      <c r="M65" s="15"/>
      <c r="N65" s="15"/>
    </row>
    <row r="66" spans="13:14" ht="12.75">
      <c r="M66" s="15"/>
      <c r="N66" s="15"/>
    </row>
  </sheetData>
  <sheetProtection/>
  <protectedRanges>
    <protectedRange sqref="B8:B10" name="Eingabe"/>
  </protectedRanges>
  <mergeCells count="2">
    <mergeCell ref="P11:V11"/>
    <mergeCell ref="P12:V12"/>
  </mergeCells>
  <conditionalFormatting sqref="A17:B17 A18 A16">
    <cfRule type="expression" priority="23" dxfId="1" stopIfTrue="1">
      <formula>$B$18&lt;0</formula>
    </cfRule>
    <cfRule type="expression" priority="24" dxfId="0" stopIfTrue="1">
      <formula>$B$18&gt;0</formula>
    </cfRule>
  </conditionalFormatting>
  <conditionalFormatting sqref="B18">
    <cfRule type="expression" priority="21" dxfId="1" stopIfTrue="1">
      <formula>$B$18&lt;0</formula>
    </cfRule>
    <cfRule type="expression" priority="22" dxfId="0" stopIfTrue="1">
      <formula>$B$18&gt;0</formula>
    </cfRule>
  </conditionalFormatting>
  <conditionalFormatting sqref="A15:B15">
    <cfRule type="expression" priority="19" dxfId="1" stopIfTrue="1">
      <formula>$B$18&lt;0</formula>
    </cfRule>
    <cfRule type="expression" priority="20" dxfId="0" stopIfTrue="1">
      <formula>$B$18&gt;0</formula>
    </cfRule>
  </conditionalFormatting>
  <conditionalFormatting sqref="B16">
    <cfRule type="expression" priority="17" dxfId="1" stopIfTrue="1">
      <formula>$B$18&lt;0</formula>
    </cfRule>
    <cfRule type="expression" priority="18" dxfId="0" stopIfTrue="1">
      <formula>$B$18&gt;0</formula>
    </cfRule>
  </conditionalFormatting>
  <conditionalFormatting sqref="A15:B16">
    <cfRule type="expression" priority="15" dxfId="0" stopIfTrue="1">
      <formula>$B$16&gt;0</formula>
    </cfRule>
    <cfRule type="expression" priority="16" dxfId="1" stopIfTrue="1">
      <formula>$B$16&lt;0</formula>
    </cfRule>
  </conditionalFormatting>
  <conditionalFormatting sqref="A19:B19 A20">
    <cfRule type="expression" priority="5" dxfId="1" stopIfTrue="1">
      <formula>$B$18&lt;0</formula>
    </cfRule>
    <cfRule type="expression" priority="6" dxfId="0" stopIfTrue="1">
      <formula>$B$18&gt;0</formula>
    </cfRule>
  </conditionalFormatting>
  <conditionalFormatting sqref="B20">
    <cfRule type="expression" priority="3" dxfId="1" stopIfTrue="1">
      <formula>$B$18&lt;0</formula>
    </cfRule>
    <cfRule type="expression" priority="4" dxfId="0" stopIfTrue="1">
      <formula>$B$18&gt;0</formula>
    </cfRule>
  </conditionalFormatting>
  <conditionalFormatting sqref="A19:B20">
    <cfRule type="expression" priority="1" dxfId="1" stopIfTrue="1">
      <formula>$B$20&lt;0</formula>
    </cfRule>
    <cfRule type="expression" priority="2" dxfId="0" stopIfTrue="1">
      <formula>$B$20&gt;0</formula>
    </cfRule>
  </conditionalFormatting>
  <printOptions/>
  <pageMargins left="0.67" right="0.61" top="0.5" bottom="0.38" header="0.4921259845" footer="0.31"/>
  <pageSetup fitToHeight="1" fitToWidth="1"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9.421875" style="0" customWidth="1"/>
    <col min="2" max="12" width="11.57421875" style="0" customWidth="1"/>
  </cols>
  <sheetData>
    <row r="1" spans="1:3" ht="12.75">
      <c r="A1" s="139" t="s">
        <v>13</v>
      </c>
      <c r="B1" s="140"/>
      <c r="C1" s="11">
        <v>250</v>
      </c>
    </row>
    <row r="2" spans="1:3" ht="13.5" thickBot="1">
      <c r="A2" s="141" t="s">
        <v>14</v>
      </c>
      <c r="B2" s="142"/>
      <c r="C2" s="12">
        <f>ROUND(Zusammenfassung!B8/(12*Zusammenfassung!B10),-1)</f>
        <v>420</v>
      </c>
    </row>
    <row r="3" spans="1:3" ht="13.5" thickBot="1">
      <c r="A3" s="25"/>
      <c r="B3" s="26"/>
      <c r="C3" s="27"/>
    </row>
    <row r="4" spans="1:6" ht="13.5" thickBot="1">
      <c r="A4" s="10" t="s">
        <v>11</v>
      </c>
      <c r="B4" s="137" t="str">
        <f>"linear auf "&amp;Zusammenfassung!B10&amp;" Jahre"</f>
        <v>linear auf 5 Jahre</v>
      </c>
      <c r="C4" s="138"/>
      <c r="D4" s="138"/>
      <c r="E4" s="138"/>
      <c r="F4" s="138"/>
    </row>
    <row r="5" spans="1:11" ht="18">
      <c r="A5" s="9" t="s">
        <v>8</v>
      </c>
      <c r="B5" s="7">
        <v>2023</v>
      </c>
      <c r="C5" s="7">
        <f>B5+1</f>
        <v>2024</v>
      </c>
      <c r="D5" s="7">
        <f aca="true" t="shared" si="0" ref="D5:K5">C5+1</f>
        <v>2025</v>
      </c>
      <c r="E5" s="7">
        <f t="shared" si="0"/>
        <v>2026</v>
      </c>
      <c r="F5" s="7">
        <f t="shared" si="0"/>
        <v>2027</v>
      </c>
      <c r="G5" s="7">
        <f t="shared" si="0"/>
        <v>2028</v>
      </c>
      <c r="H5" s="7">
        <f t="shared" si="0"/>
        <v>2029</v>
      </c>
      <c r="I5" s="7">
        <f t="shared" si="0"/>
        <v>2030</v>
      </c>
      <c r="J5" s="7">
        <f t="shared" si="0"/>
        <v>2031</v>
      </c>
      <c r="K5" s="8">
        <f t="shared" si="0"/>
        <v>2032</v>
      </c>
    </row>
    <row r="6" spans="1:11" ht="12.75">
      <c r="A6" s="5">
        <v>36526</v>
      </c>
      <c r="B6" s="1">
        <f>IF(MONTH(Zusammenfassung!$B$9)=MONTH(A6),Zusammenfassung!$B$8,"")</f>
        <v>25000</v>
      </c>
      <c r="C6" s="1">
        <f>MAX($C$1,ROUND(B17-(Zusammenfassung!$B$8/(Zusammenfassung!$B$10*12)),-1))</f>
        <v>19960</v>
      </c>
      <c r="D6" s="1">
        <f>MAX($C$1,ROUND(C17-(Zusammenfassung!$B$8/(Zusammenfassung!$B$10*12)),-1))</f>
        <v>14920</v>
      </c>
      <c r="E6" s="1">
        <f>MAX($C$1,ROUND(D17-(Zusammenfassung!$B$8/(Zusammenfassung!$B$10*12)),-1))</f>
        <v>9880</v>
      </c>
      <c r="F6" s="1">
        <f>MAX($C$1,ROUND(E17-(Zusammenfassung!$B$8/(Zusammenfassung!$B$10*12)),-1))</f>
        <v>4840</v>
      </c>
      <c r="G6" s="1">
        <f>MAX($C$1,ROUND(F17-(Zusammenfassung!$B$8/(Zusammenfassung!$B$10*12)),-1))</f>
        <v>250</v>
      </c>
      <c r="H6" s="1">
        <f>MAX($C$1,ROUND(G17-(Zusammenfassung!$B$8/(Zusammenfassung!$B$10*12)),-1))</f>
        <v>250</v>
      </c>
      <c r="I6" s="1">
        <f>MAX($C$1,ROUND(H17-(Zusammenfassung!$B$8/(Zusammenfassung!$B$10*12)),-1))</f>
        <v>250</v>
      </c>
      <c r="J6" s="1">
        <f>MAX($C$1,ROUND(I17-(Zusammenfassung!$B$8/(Zusammenfassung!$B$10*12)),-1))</f>
        <v>250</v>
      </c>
      <c r="K6" s="2">
        <f>MAX($C$1,ROUND(J17-(Zusammenfassung!$B$8/(Zusammenfassung!$B$10*12)),-1))</f>
        <v>250</v>
      </c>
    </row>
    <row r="7" spans="1:11" ht="12.75">
      <c r="A7" s="5">
        <v>36557</v>
      </c>
      <c r="B7" s="1">
        <f>IF(MONTH(Zusammenfassung!$B$9)=MONTH(A7),Zusammenfassung!$B$8,IF(MONTH(Zusammenfassung!$B$9)&gt;MONTH(A7),"",ROUND(B6-(Zusammenfassung!B$8/(Zusammenfassung!B$10*12)),-1)))</f>
        <v>24580</v>
      </c>
      <c r="C7" s="1">
        <f>MAX($C$1,ROUND(C6-(Zusammenfassung!$B$8/(Zusammenfassung!$B$10*12)),-1))</f>
        <v>19540</v>
      </c>
      <c r="D7" s="1">
        <f>MAX($C$1,ROUND(D6-(Zusammenfassung!$B$8/(Zusammenfassung!$B$10*12)),-1))</f>
        <v>14500</v>
      </c>
      <c r="E7" s="1">
        <f>MAX($C$1,ROUND(E6-(Zusammenfassung!$B$8/(Zusammenfassung!$B$10*12)),-1))</f>
        <v>9460</v>
      </c>
      <c r="F7" s="1">
        <f>MAX($C$1,ROUND(F6-(Zusammenfassung!$B$8/(Zusammenfassung!$B$10*12)),-1))</f>
        <v>4420</v>
      </c>
      <c r="G7" s="1">
        <f>MAX($C$1,ROUND(G6-(Zusammenfassung!$B$8/(Zusammenfassung!$B$10*12)),-1))</f>
        <v>250</v>
      </c>
      <c r="H7" s="1">
        <f>MAX($C$1,ROUND(H6-(Zusammenfassung!$B$8/(Zusammenfassung!$B$10*12)),-1))</f>
        <v>250</v>
      </c>
      <c r="I7" s="1">
        <f>MAX($C$1,ROUND(I6-(Zusammenfassung!$B$8/(Zusammenfassung!$B$10*12)),-1))</f>
        <v>250</v>
      </c>
      <c r="J7" s="1">
        <f>MAX($C$1,ROUND(J6-(Zusammenfassung!$B$8/(Zusammenfassung!$B$10*12)),-1))</f>
        <v>250</v>
      </c>
      <c r="K7" s="2">
        <f>MAX($C$1,ROUND(K6-(Zusammenfassung!$B$8/(Zusammenfassung!$B$10*12)),-1))</f>
        <v>250</v>
      </c>
    </row>
    <row r="8" spans="1:11" ht="12.75">
      <c r="A8" s="5">
        <v>36586</v>
      </c>
      <c r="B8" s="1">
        <f>IF(MONTH(Zusammenfassung!$B$9)=MONTH(A8),Zusammenfassung!$B$8,IF(MONTH(Zusammenfassung!$B$9)&gt;MONTH(A8),"",ROUND(B7-(Zusammenfassung!B$8/(Zusammenfassung!B$10*12)),-1)))</f>
        <v>24160</v>
      </c>
      <c r="C8" s="1">
        <f>MAX($C$1,ROUND(C7-(Zusammenfassung!$B$8/(Zusammenfassung!$B$10*12)),-1))</f>
        <v>19120</v>
      </c>
      <c r="D8" s="1">
        <f>MAX($C$1,ROUND(D7-(Zusammenfassung!$B$8/(Zusammenfassung!$B$10*12)),-1))</f>
        <v>14080</v>
      </c>
      <c r="E8" s="1">
        <f>MAX($C$1,ROUND(E7-(Zusammenfassung!$B$8/(Zusammenfassung!$B$10*12)),-1))</f>
        <v>9040</v>
      </c>
      <c r="F8" s="1">
        <f>MAX($C$1,ROUND(F7-(Zusammenfassung!$B$8/(Zusammenfassung!$B$10*12)),-1))</f>
        <v>4000</v>
      </c>
      <c r="G8" s="1">
        <f>MAX($C$1,ROUND(G7-(Zusammenfassung!$B$8/(Zusammenfassung!$B$10*12)),-1))</f>
        <v>250</v>
      </c>
      <c r="H8" s="1">
        <f>MAX($C$1,ROUND(H7-(Zusammenfassung!$B$8/(Zusammenfassung!$B$10*12)),-1))</f>
        <v>250</v>
      </c>
      <c r="I8" s="1">
        <f>MAX($C$1,ROUND(I7-(Zusammenfassung!$B$8/(Zusammenfassung!$B$10*12)),-1))</f>
        <v>250</v>
      </c>
      <c r="J8" s="1">
        <f>MAX($C$1,ROUND(J7-(Zusammenfassung!$B$8/(Zusammenfassung!$B$10*12)),-1))</f>
        <v>250</v>
      </c>
      <c r="K8" s="2">
        <f>MAX($C$1,ROUND(K7-(Zusammenfassung!$B$8/(Zusammenfassung!$B$10*12)),-1))</f>
        <v>250</v>
      </c>
    </row>
    <row r="9" spans="1:11" ht="12.75">
      <c r="A9" s="5">
        <v>36617</v>
      </c>
      <c r="B9" s="1">
        <f>IF(MONTH(Zusammenfassung!$B$9)=MONTH(A9),Zusammenfassung!$B$8,IF(MONTH(Zusammenfassung!$B$9)&gt;MONTH(A9),"",ROUND(B8-(Zusammenfassung!B$8/(Zusammenfassung!B$10*12)),-1)))</f>
        <v>23740</v>
      </c>
      <c r="C9" s="1">
        <f>MAX($C$1,ROUND(C8-(Zusammenfassung!$B$8/(Zusammenfassung!$B$10*12)),-1))</f>
        <v>18700</v>
      </c>
      <c r="D9" s="1">
        <f>MAX($C$1,ROUND(D8-(Zusammenfassung!$B$8/(Zusammenfassung!$B$10*12)),-1))</f>
        <v>13660</v>
      </c>
      <c r="E9" s="1">
        <f>MAX($C$1,ROUND(E8-(Zusammenfassung!$B$8/(Zusammenfassung!$B$10*12)),-1))</f>
        <v>8620</v>
      </c>
      <c r="F9" s="1">
        <f>MAX($C$1,ROUND(F8-(Zusammenfassung!$B$8/(Zusammenfassung!$B$10*12)),-1))</f>
        <v>3580</v>
      </c>
      <c r="G9" s="1">
        <f>MAX($C$1,ROUND(G8-(Zusammenfassung!$B$8/(Zusammenfassung!$B$10*12)),-1))</f>
        <v>250</v>
      </c>
      <c r="H9" s="1">
        <f>MAX($C$1,ROUND(H8-(Zusammenfassung!$B$8/(Zusammenfassung!$B$10*12)),-1))</f>
        <v>250</v>
      </c>
      <c r="I9" s="1">
        <f>MAX($C$1,ROUND(I8-(Zusammenfassung!$B$8/(Zusammenfassung!$B$10*12)),-1))</f>
        <v>250</v>
      </c>
      <c r="J9" s="1">
        <f>MAX($C$1,ROUND(J8-(Zusammenfassung!$B$8/(Zusammenfassung!$B$10*12)),-1))</f>
        <v>250</v>
      </c>
      <c r="K9" s="2">
        <f>MAX($C$1,ROUND(K8-(Zusammenfassung!$B$8/(Zusammenfassung!$B$10*12)),-1))</f>
        <v>250</v>
      </c>
    </row>
    <row r="10" spans="1:11" ht="12.75">
      <c r="A10" s="5">
        <v>36647</v>
      </c>
      <c r="B10" s="1">
        <f>IF(MONTH(Zusammenfassung!$B$9)=MONTH(A10),Zusammenfassung!$B$8,IF(MONTH(Zusammenfassung!$B$9)&gt;MONTH(A10),"",ROUND(B9-(Zusammenfassung!B$8/(Zusammenfassung!B$10*12)),-1)))</f>
        <v>23320</v>
      </c>
      <c r="C10" s="1">
        <f>MAX($C$1,ROUND(C9-(Zusammenfassung!$B$8/(Zusammenfassung!$B$10*12)),-1))</f>
        <v>18280</v>
      </c>
      <c r="D10" s="1">
        <f>MAX($C$1,ROUND(D9-(Zusammenfassung!$B$8/(Zusammenfassung!$B$10*12)),-1))</f>
        <v>13240</v>
      </c>
      <c r="E10" s="1">
        <f>MAX($C$1,ROUND(E9-(Zusammenfassung!$B$8/(Zusammenfassung!$B$10*12)),-1))</f>
        <v>8200</v>
      </c>
      <c r="F10" s="1">
        <f>MAX($C$1,ROUND(F9-(Zusammenfassung!$B$8/(Zusammenfassung!$B$10*12)),-1))</f>
        <v>3160</v>
      </c>
      <c r="G10" s="1">
        <f>MAX($C$1,ROUND(G9-(Zusammenfassung!$B$8/(Zusammenfassung!$B$10*12)),-1))</f>
        <v>250</v>
      </c>
      <c r="H10" s="1">
        <f>MAX($C$1,ROUND(H9-(Zusammenfassung!$B$8/(Zusammenfassung!$B$10*12)),-1))</f>
        <v>250</v>
      </c>
      <c r="I10" s="1">
        <f>MAX($C$1,ROUND(I9-(Zusammenfassung!$B$8/(Zusammenfassung!$B$10*12)),-1))</f>
        <v>250</v>
      </c>
      <c r="J10" s="1">
        <f>MAX($C$1,ROUND(J9-(Zusammenfassung!$B$8/(Zusammenfassung!$B$10*12)),-1))</f>
        <v>250</v>
      </c>
      <c r="K10" s="2">
        <f>MAX($C$1,ROUND(K9-(Zusammenfassung!$B$8/(Zusammenfassung!$B$10*12)),-1))</f>
        <v>250</v>
      </c>
    </row>
    <row r="11" spans="1:11" ht="12.75">
      <c r="A11" s="5">
        <v>36678</v>
      </c>
      <c r="B11" s="1">
        <f>IF(MONTH(Zusammenfassung!$B$9)=MONTH(A11),Zusammenfassung!$B$8,IF(MONTH(Zusammenfassung!$B$9)&gt;MONTH(A11),"",ROUND(B10-(Zusammenfassung!B$8/(Zusammenfassung!B$10*12)),-1)))</f>
        <v>22900</v>
      </c>
      <c r="C11" s="1">
        <f>MAX($C$1,ROUND(C10-(Zusammenfassung!$B$8/(Zusammenfassung!$B$10*12)),-1))</f>
        <v>17860</v>
      </c>
      <c r="D11" s="1">
        <f>MAX($C$1,ROUND(D10-(Zusammenfassung!$B$8/(Zusammenfassung!$B$10*12)),-1))</f>
        <v>12820</v>
      </c>
      <c r="E11" s="1">
        <f>MAX($C$1,ROUND(E10-(Zusammenfassung!$B$8/(Zusammenfassung!$B$10*12)),-1))</f>
        <v>7780</v>
      </c>
      <c r="F11" s="1">
        <f>MAX($C$1,ROUND(F10-(Zusammenfassung!$B$8/(Zusammenfassung!$B$10*12)),-1))</f>
        <v>2740</v>
      </c>
      <c r="G11" s="1">
        <f>MAX($C$1,ROUND(G10-(Zusammenfassung!$B$8/(Zusammenfassung!$B$10*12)),-1))</f>
        <v>250</v>
      </c>
      <c r="H11" s="1">
        <f>MAX($C$1,ROUND(H10-(Zusammenfassung!$B$8/(Zusammenfassung!$B$10*12)),-1))</f>
        <v>250</v>
      </c>
      <c r="I11" s="1">
        <f>MAX($C$1,ROUND(I10-(Zusammenfassung!$B$8/(Zusammenfassung!$B$10*12)),-1))</f>
        <v>250</v>
      </c>
      <c r="J11" s="1">
        <f>MAX($C$1,ROUND(J10-(Zusammenfassung!$B$8/(Zusammenfassung!$B$10*12)),-1))</f>
        <v>250</v>
      </c>
      <c r="K11" s="2">
        <f>MAX($C$1,ROUND(K10-(Zusammenfassung!$B$8/(Zusammenfassung!$B$10*12)),-1))</f>
        <v>250</v>
      </c>
    </row>
    <row r="12" spans="1:11" ht="12.75">
      <c r="A12" s="5">
        <v>36708</v>
      </c>
      <c r="B12" s="1">
        <f>IF(MONTH(Zusammenfassung!$B$9)=MONTH(A12),Zusammenfassung!$B$8,IF(MONTH(Zusammenfassung!$B$9)&gt;MONTH(A12),"",ROUND(B11-(Zusammenfassung!B$8/(Zusammenfassung!B$10*12)),-1)))</f>
        <v>22480</v>
      </c>
      <c r="C12" s="1">
        <f>MAX($C$1,ROUND(C11-(Zusammenfassung!$B$8/(Zusammenfassung!$B$10*12)),-1))</f>
        <v>17440</v>
      </c>
      <c r="D12" s="1">
        <f>MAX($C$1,ROUND(D11-(Zusammenfassung!$B$8/(Zusammenfassung!$B$10*12)),-1))</f>
        <v>12400</v>
      </c>
      <c r="E12" s="1">
        <f>MAX($C$1,ROUND(E11-(Zusammenfassung!$B$8/(Zusammenfassung!$B$10*12)),-1))</f>
        <v>7360</v>
      </c>
      <c r="F12" s="1">
        <f>MAX($C$1,ROUND(F11-(Zusammenfassung!$B$8/(Zusammenfassung!$B$10*12)),-1))</f>
        <v>2320</v>
      </c>
      <c r="G12" s="1">
        <f>MAX($C$1,ROUND(G11-(Zusammenfassung!$B$8/(Zusammenfassung!$B$10*12)),-1))</f>
        <v>250</v>
      </c>
      <c r="H12" s="1">
        <f>MAX($C$1,ROUND(H11-(Zusammenfassung!$B$8/(Zusammenfassung!$B$10*12)),-1))</f>
        <v>250</v>
      </c>
      <c r="I12" s="1">
        <f>MAX($C$1,ROUND(I11-(Zusammenfassung!$B$8/(Zusammenfassung!$B$10*12)),-1))</f>
        <v>250</v>
      </c>
      <c r="J12" s="1">
        <f>MAX($C$1,ROUND(J11-(Zusammenfassung!$B$8/(Zusammenfassung!$B$10*12)),-1))</f>
        <v>250</v>
      </c>
      <c r="K12" s="2">
        <f>MAX($C$1,ROUND(K11-(Zusammenfassung!$B$8/(Zusammenfassung!$B$10*12)),-1))</f>
        <v>250</v>
      </c>
    </row>
    <row r="13" spans="1:11" ht="12.75">
      <c r="A13" s="5">
        <v>36739</v>
      </c>
      <c r="B13" s="1">
        <f>IF(MONTH(Zusammenfassung!$B$9)=MONTH(A13),Zusammenfassung!$B$8,IF(MONTH(Zusammenfassung!$B$9)&gt;MONTH(A13),"",ROUND(B12-(Zusammenfassung!B$8/(Zusammenfassung!B$10*12)),-1)))</f>
        <v>22060</v>
      </c>
      <c r="C13" s="1">
        <f>MAX($C$1,ROUND(C12-(Zusammenfassung!$B$8/(Zusammenfassung!$B$10*12)),-1))</f>
        <v>17020</v>
      </c>
      <c r="D13" s="1">
        <f>MAX($C$1,ROUND(D12-(Zusammenfassung!$B$8/(Zusammenfassung!$B$10*12)),-1))</f>
        <v>11980</v>
      </c>
      <c r="E13" s="1">
        <f>MAX($C$1,ROUND(E12-(Zusammenfassung!$B$8/(Zusammenfassung!$B$10*12)),-1))</f>
        <v>6940</v>
      </c>
      <c r="F13" s="1">
        <f>MAX($C$1,ROUND(F12-(Zusammenfassung!$B$8/(Zusammenfassung!$B$10*12)),-1))</f>
        <v>1900</v>
      </c>
      <c r="G13" s="1">
        <f>MAX($C$1,ROUND(G12-(Zusammenfassung!$B$8/(Zusammenfassung!$B$10*12)),-1))</f>
        <v>250</v>
      </c>
      <c r="H13" s="1">
        <f>MAX($C$1,ROUND(H12-(Zusammenfassung!$B$8/(Zusammenfassung!$B$10*12)),-1))</f>
        <v>250</v>
      </c>
      <c r="I13" s="1">
        <f>MAX($C$1,ROUND(I12-(Zusammenfassung!$B$8/(Zusammenfassung!$B$10*12)),-1))</f>
        <v>250</v>
      </c>
      <c r="J13" s="1">
        <f>MAX($C$1,ROUND(J12-(Zusammenfassung!$B$8/(Zusammenfassung!$B$10*12)),-1))</f>
        <v>250</v>
      </c>
      <c r="K13" s="2">
        <f>MAX($C$1,ROUND(K12-(Zusammenfassung!$B$8/(Zusammenfassung!$B$10*12)),-1))</f>
        <v>250</v>
      </c>
    </row>
    <row r="14" spans="1:11" ht="12.75">
      <c r="A14" s="5">
        <v>36770</v>
      </c>
      <c r="B14" s="1">
        <f>IF(MONTH(Zusammenfassung!$B$9)=MONTH(A14),Zusammenfassung!$B$8,IF(MONTH(Zusammenfassung!$B$9)&gt;MONTH(A14),"",ROUND(B13-(Zusammenfassung!B$8/(Zusammenfassung!B$10*12)),-1)))</f>
        <v>21640</v>
      </c>
      <c r="C14" s="1">
        <f>MAX($C$1,ROUND(C13-(Zusammenfassung!$B$8/(Zusammenfassung!$B$10*12)),-1))</f>
        <v>16600</v>
      </c>
      <c r="D14" s="1">
        <f>MAX($C$1,ROUND(D13-(Zusammenfassung!$B$8/(Zusammenfassung!$B$10*12)),-1))</f>
        <v>11560</v>
      </c>
      <c r="E14" s="1">
        <f>MAX($C$1,ROUND(E13-(Zusammenfassung!$B$8/(Zusammenfassung!$B$10*12)),-1))</f>
        <v>6520</v>
      </c>
      <c r="F14" s="1">
        <f>MAX($C$1,ROUND(F13-(Zusammenfassung!$B$8/(Zusammenfassung!$B$10*12)),-1))</f>
        <v>1480</v>
      </c>
      <c r="G14" s="1">
        <f>MAX($C$1,ROUND(G13-(Zusammenfassung!$B$8/(Zusammenfassung!$B$10*12)),-1))</f>
        <v>250</v>
      </c>
      <c r="H14" s="1">
        <f>MAX($C$1,ROUND(H13-(Zusammenfassung!$B$8/(Zusammenfassung!$B$10*12)),-1))</f>
        <v>250</v>
      </c>
      <c r="I14" s="1">
        <f>MAX($C$1,ROUND(I13-(Zusammenfassung!$B$8/(Zusammenfassung!$B$10*12)),-1))</f>
        <v>250</v>
      </c>
      <c r="J14" s="1">
        <f>MAX($C$1,ROUND(J13-(Zusammenfassung!$B$8/(Zusammenfassung!$B$10*12)),-1))</f>
        <v>250</v>
      </c>
      <c r="K14" s="2">
        <f>MAX($C$1,ROUND(K13-(Zusammenfassung!$B$8/(Zusammenfassung!$B$10*12)),-1))</f>
        <v>250</v>
      </c>
    </row>
    <row r="15" spans="1:11" ht="12.75">
      <c r="A15" s="5">
        <v>36800</v>
      </c>
      <c r="B15" s="1">
        <f>IF(MONTH(Zusammenfassung!$B$9)=MONTH(A15),Zusammenfassung!$B$8,IF(MONTH(Zusammenfassung!$B$9)&gt;MONTH(A15),"",ROUND(B14-(Zusammenfassung!B$8/(Zusammenfassung!B$10*12)),-1)))</f>
        <v>21220</v>
      </c>
      <c r="C15" s="1">
        <f>MAX($C$1,ROUND(C14-(Zusammenfassung!$B$8/(Zusammenfassung!$B$10*12)),-1))</f>
        <v>16180</v>
      </c>
      <c r="D15" s="1">
        <f>MAX($C$1,ROUND(D14-(Zusammenfassung!$B$8/(Zusammenfassung!$B$10*12)),-1))</f>
        <v>11140</v>
      </c>
      <c r="E15" s="1">
        <f>MAX($C$1,ROUND(E14-(Zusammenfassung!$B$8/(Zusammenfassung!$B$10*12)),-1))</f>
        <v>6100</v>
      </c>
      <c r="F15" s="1">
        <f>MAX($C$1,ROUND(F14-(Zusammenfassung!$B$8/(Zusammenfassung!$B$10*12)),-1))</f>
        <v>1060</v>
      </c>
      <c r="G15" s="1">
        <f>MAX($C$1,ROUND(G14-(Zusammenfassung!$B$8/(Zusammenfassung!$B$10*12)),-1))</f>
        <v>250</v>
      </c>
      <c r="H15" s="1">
        <f>MAX($C$1,ROUND(H14-(Zusammenfassung!$B$8/(Zusammenfassung!$B$10*12)),-1))</f>
        <v>250</v>
      </c>
      <c r="I15" s="1">
        <f>MAX($C$1,ROUND(I14-(Zusammenfassung!$B$8/(Zusammenfassung!$B$10*12)),-1))</f>
        <v>250</v>
      </c>
      <c r="J15" s="1">
        <f>MAX($C$1,ROUND(J14-(Zusammenfassung!$B$8/(Zusammenfassung!$B$10*12)),-1))</f>
        <v>250</v>
      </c>
      <c r="K15" s="2">
        <f>MAX($C$1,ROUND(K14-(Zusammenfassung!$B$8/(Zusammenfassung!$B$10*12)),-1))</f>
        <v>250</v>
      </c>
    </row>
    <row r="16" spans="1:11" ht="12.75">
      <c r="A16" s="5">
        <v>36831</v>
      </c>
      <c r="B16" s="1">
        <f>IF(MONTH(Zusammenfassung!$B$9)=MONTH(A16),Zusammenfassung!$B$8,IF(MONTH(Zusammenfassung!$B$9)&gt;MONTH(A16),"",ROUND(B15-(Zusammenfassung!B$8/(Zusammenfassung!B$10*12)),-1)))</f>
        <v>20800</v>
      </c>
      <c r="C16" s="1">
        <f>MAX($C$1,ROUND(C15-(Zusammenfassung!$B$8/(Zusammenfassung!$B$10*12)),-1))</f>
        <v>15760</v>
      </c>
      <c r="D16" s="1">
        <f>MAX($C$1,ROUND(D15-(Zusammenfassung!$B$8/(Zusammenfassung!$B$10*12)),-1))</f>
        <v>10720</v>
      </c>
      <c r="E16" s="1">
        <f>MAX($C$1,ROUND(E15-(Zusammenfassung!$B$8/(Zusammenfassung!$B$10*12)),-1))</f>
        <v>5680</v>
      </c>
      <c r="F16" s="1">
        <f>MAX($C$1,ROUND(F15-(Zusammenfassung!$B$8/(Zusammenfassung!$B$10*12)),-1))</f>
        <v>640</v>
      </c>
      <c r="G16" s="1">
        <f>MAX($C$1,ROUND(G15-(Zusammenfassung!$B$8/(Zusammenfassung!$B$10*12)),-1))</f>
        <v>250</v>
      </c>
      <c r="H16" s="1">
        <f>MAX($C$1,ROUND(H15-(Zusammenfassung!$B$8/(Zusammenfassung!$B$10*12)),-1))</f>
        <v>250</v>
      </c>
      <c r="I16" s="1">
        <f>MAX($C$1,ROUND(I15-(Zusammenfassung!$B$8/(Zusammenfassung!$B$10*12)),-1))</f>
        <v>250</v>
      </c>
      <c r="J16" s="1">
        <f>MAX($C$1,ROUND(J15-(Zusammenfassung!$B$8/(Zusammenfassung!$B$10*12)),-1))</f>
        <v>250</v>
      </c>
      <c r="K16" s="2">
        <f>MAX($C$1,ROUND(K15-(Zusammenfassung!$B$8/(Zusammenfassung!$B$10*12)),-1))</f>
        <v>250</v>
      </c>
    </row>
    <row r="17" spans="1:11" ht="13.5" thickBot="1">
      <c r="A17" s="6">
        <v>36861</v>
      </c>
      <c r="B17" s="3">
        <f>IF(MONTH(Zusammenfassung!$B$9)=MONTH(A17),Zusammenfassung!$B$8,IF(MONTH(Zusammenfassung!$B$9)&gt;MONTH(A17),"",ROUND(B16-(Zusammenfassung!B$8/(Zusammenfassung!B$10*12)),-1)))</f>
        <v>20380</v>
      </c>
      <c r="C17" s="3">
        <f>MAX($C$1,ROUND(C16-(Zusammenfassung!$B$8/(Zusammenfassung!$B$10*12)),-1))</f>
        <v>15340</v>
      </c>
      <c r="D17" s="3">
        <f>MAX($C$1,ROUND(D16-(Zusammenfassung!$B$8/(Zusammenfassung!$B$10*12)),-1))</f>
        <v>10300</v>
      </c>
      <c r="E17" s="3">
        <f>MAX($C$1,ROUND(E16-(Zusammenfassung!$B$8/(Zusammenfassung!$B$10*12)),-1))</f>
        <v>5260</v>
      </c>
      <c r="F17" s="3">
        <f>MAX($C$1,ROUND(F16-(Zusammenfassung!$B$8/(Zusammenfassung!$B$10*12)),-1))</f>
        <v>250</v>
      </c>
      <c r="G17" s="3">
        <f>MAX($C$1,ROUND(G16-(Zusammenfassung!$B$8/(Zusammenfassung!$B$10*12)),-1))</f>
        <v>250</v>
      </c>
      <c r="H17" s="3">
        <f>MAX($C$1,ROUND(H16-(Zusammenfassung!$B$8/(Zusammenfassung!$B$10*12)),-1))</f>
        <v>250</v>
      </c>
      <c r="I17" s="3">
        <f>MAX($C$1,ROUND(I16-(Zusammenfassung!$B$8/(Zusammenfassung!$B$10*12)),-1))</f>
        <v>250</v>
      </c>
      <c r="J17" s="3">
        <f>MAX($C$1,ROUND(J16-(Zusammenfassung!$B$8/(Zusammenfassung!$B$10*12)),-1))</f>
        <v>250</v>
      </c>
      <c r="K17" s="4">
        <f>MAX($C$1,ROUND(K16-(Zusammenfassung!$B$8/(Zusammenfassung!$B$10*12)),-1))</f>
        <v>250</v>
      </c>
    </row>
    <row r="19" spans="1:11" ht="13.5" thickBot="1">
      <c r="A19" s="13" t="s">
        <v>15</v>
      </c>
      <c r="B19" s="14">
        <f>MAX(B6:B17)-C6</f>
        <v>5040</v>
      </c>
      <c r="C19" s="14">
        <f>C6-D6</f>
        <v>5040</v>
      </c>
      <c r="D19" s="14">
        <f aca="true" t="shared" si="1" ref="D19:J19">D6-E6</f>
        <v>5040</v>
      </c>
      <c r="E19" s="14">
        <f t="shared" si="1"/>
        <v>5040</v>
      </c>
      <c r="F19" s="14">
        <f>F6-G6</f>
        <v>4590</v>
      </c>
      <c r="G19" s="14">
        <f>G6-H6</f>
        <v>0</v>
      </c>
      <c r="H19" s="14">
        <f t="shared" si="1"/>
        <v>0</v>
      </c>
      <c r="I19" s="14">
        <f t="shared" si="1"/>
        <v>0</v>
      </c>
      <c r="J19" s="14">
        <f t="shared" si="1"/>
        <v>0</v>
      </c>
      <c r="K19" s="14">
        <f>K6-K17</f>
        <v>0</v>
      </c>
    </row>
    <row r="20" ht="13.5" thickTop="1"/>
    <row r="45" spans="2:12" ht="12.75">
      <c r="B45">
        <f>SUM(C47:L56)</f>
        <v>25000</v>
      </c>
      <c r="C45">
        <v>1</v>
      </c>
      <c r="D45">
        <v>2</v>
      </c>
      <c r="E45">
        <v>3</v>
      </c>
      <c r="F45">
        <v>4</v>
      </c>
      <c r="G45">
        <v>5</v>
      </c>
      <c r="H45">
        <v>6</v>
      </c>
      <c r="I45">
        <v>7</v>
      </c>
      <c r="J45">
        <v>8</v>
      </c>
      <c r="K45">
        <v>9</v>
      </c>
      <c r="L45">
        <v>10</v>
      </c>
    </row>
    <row r="46" spans="3:12" ht="12.75">
      <c r="C46">
        <f>IF(Zusammenfassung!$B10=Abschreibung!C45,1,"")</f>
      </c>
      <c r="D46">
        <f>IF(Zusammenfassung!$B10=Abschreibung!D45,1,"")</f>
      </c>
      <c r="E46">
        <f>IF(Zusammenfassung!$B10=Abschreibung!E45,1,"")</f>
      </c>
      <c r="F46">
        <f>IF(Zusammenfassung!$B10=Abschreibung!F45,1,"")</f>
      </c>
      <c r="G46">
        <f>IF(Zusammenfassung!$B10=Abschreibung!G45,1,"")</f>
        <v>1</v>
      </c>
      <c r="H46">
        <f>IF(Zusammenfassung!$B10=Abschreibung!H45,1,"")</f>
      </c>
      <c r="I46">
        <f>IF(Zusammenfassung!$B10=Abschreibung!I45,1,"")</f>
      </c>
      <c r="J46">
        <f>IF(Zusammenfassung!$B10=Abschreibung!J45,1,"")</f>
      </c>
      <c r="K46">
        <f>IF(Zusammenfassung!$B10=Abschreibung!K45,1,"")</f>
      </c>
      <c r="L46">
        <f>IF(Zusammenfassung!$B10=Abschreibung!L45,1,"")</f>
      </c>
    </row>
    <row r="47" spans="2:12" ht="12.75">
      <c r="B47">
        <v>1</v>
      </c>
      <c r="D47">
        <f>IF(C$46=1,Zusammenfassung!$B$8/Zusammenfassung!$B$10,"")</f>
      </c>
      <c r="E47">
        <f>D47</f>
      </c>
      <c r="F47">
        <f>E47</f>
      </c>
      <c r="G47">
        <f aca="true" t="shared" si="2" ref="G47:L47">F47</f>
      </c>
      <c r="H47">
        <f t="shared" si="2"/>
      </c>
      <c r="I47">
        <f t="shared" si="2"/>
      </c>
      <c r="J47">
        <f t="shared" si="2"/>
      </c>
      <c r="K47">
        <f t="shared" si="2"/>
      </c>
      <c r="L47">
        <f t="shared" si="2"/>
      </c>
    </row>
    <row r="48" spans="2:12" ht="12.75">
      <c r="B48">
        <v>2</v>
      </c>
      <c r="E48">
        <f>IF(D$46=1,Zusammenfassung!$B$8/Zusammenfassung!$B$10,"")</f>
      </c>
      <c r="F48">
        <f>E48</f>
      </c>
      <c r="G48">
        <f aca="true" t="shared" si="3" ref="G48:L48">F48</f>
      </c>
      <c r="H48">
        <f t="shared" si="3"/>
      </c>
      <c r="I48">
        <f t="shared" si="3"/>
      </c>
      <c r="J48">
        <f t="shared" si="3"/>
      </c>
      <c r="K48">
        <f t="shared" si="3"/>
      </c>
      <c r="L48">
        <f t="shared" si="3"/>
      </c>
    </row>
    <row r="49" spans="2:12" ht="12.75">
      <c r="B49">
        <v>3</v>
      </c>
      <c r="F49">
        <f>IF(E$46=1,Zusammenfassung!$B$8/Zusammenfassung!$B$10,"")</f>
      </c>
      <c r="G49">
        <f aca="true" t="shared" si="4" ref="G49:L49">F49</f>
      </c>
      <c r="H49">
        <f t="shared" si="4"/>
      </c>
      <c r="I49">
        <f t="shared" si="4"/>
      </c>
      <c r="J49">
        <f t="shared" si="4"/>
      </c>
      <c r="K49">
        <f t="shared" si="4"/>
      </c>
      <c r="L49">
        <f t="shared" si="4"/>
      </c>
    </row>
    <row r="50" spans="2:12" ht="12.75">
      <c r="B50">
        <v>4</v>
      </c>
      <c r="G50">
        <f>IF(F$46=1,Zusammenfassung!$B$8/Zusammenfassung!$B$10,"")</f>
      </c>
      <c r="H50">
        <f>G50</f>
      </c>
      <c r="I50">
        <f>H50</f>
      </c>
      <c r="J50">
        <f>I50</f>
      </c>
      <c r="K50">
        <f>J50</f>
      </c>
      <c r="L50">
        <f>K50</f>
      </c>
    </row>
    <row r="51" spans="2:12" ht="12.75">
      <c r="B51">
        <v>5</v>
      </c>
      <c r="H51">
        <f>IF(G$46=1,Zusammenfassung!$B$8/Zusammenfassung!$B$10,"")</f>
        <v>5000</v>
      </c>
      <c r="I51">
        <f>H51</f>
        <v>5000</v>
      </c>
      <c r="J51">
        <f>I51</f>
        <v>5000</v>
      </c>
      <c r="K51">
        <f>J51</f>
        <v>5000</v>
      </c>
      <c r="L51">
        <f>K51</f>
        <v>5000</v>
      </c>
    </row>
    <row r="52" spans="2:12" ht="12.75">
      <c r="B52">
        <v>6</v>
      </c>
      <c r="I52">
        <f>IF(H$46=1,Zusammenfassung!$B$8/Zusammenfassung!$B$10,"")</f>
      </c>
      <c r="J52">
        <f>I52</f>
      </c>
      <c r="K52">
        <f>J52</f>
      </c>
      <c r="L52">
        <f>K52</f>
      </c>
    </row>
    <row r="53" spans="2:12" ht="12.75">
      <c r="B53">
        <v>7</v>
      </c>
      <c r="J53">
        <f>IF(I$46=1,Zusammenfassung!$B$8/Zusammenfassung!$B$10,"")</f>
      </c>
      <c r="K53">
        <f>J53</f>
      </c>
      <c r="L53">
        <f>K53</f>
      </c>
    </row>
    <row r="54" spans="2:12" ht="12.75">
      <c r="B54">
        <v>8</v>
      </c>
      <c r="K54">
        <f>IF(J$46=1,Zusammenfassung!$B$8/Zusammenfassung!$B$10,"")</f>
      </c>
      <c r="L54">
        <f>K54</f>
      </c>
    </row>
    <row r="55" spans="2:13" ht="12.75">
      <c r="B55">
        <v>9</v>
      </c>
      <c r="L55">
        <f>IF(K$46=1,Zusammenfassung!$B$8/Zusammenfassung!$B$10,"")</f>
      </c>
      <c r="M55">
        <f>L55</f>
      </c>
    </row>
    <row r="56" ht="12.75">
      <c r="B56">
        <v>10</v>
      </c>
    </row>
  </sheetData>
  <sheetProtection/>
  <protectedRanges>
    <protectedRange sqref="C1" name="Eingabe"/>
  </protectedRanges>
  <mergeCells count="3">
    <mergeCell ref="B4:F4"/>
    <mergeCell ref="A1:B1"/>
    <mergeCell ref="A2:B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Christian Steger-Vonmetz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Steger-Vonmetz</dc:creator>
  <cp:keywords/>
  <dc:description/>
  <cp:lastModifiedBy>Matthias Komarek</cp:lastModifiedBy>
  <cp:lastPrinted>2020-02-21T16:09:02Z</cp:lastPrinted>
  <dcterms:created xsi:type="dcterms:W3CDTF">2010-07-23T09:34:40Z</dcterms:created>
  <dcterms:modified xsi:type="dcterms:W3CDTF">2023-03-02T14:04:38Z</dcterms:modified>
  <cp:category/>
  <cp:version/>
  <cp:contentType/>
  <cp:contentStatus/>
</cp:coreProperties>
</file>